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d.docs.live.net/708d84033a8f442f/Loonie/"/>
    </mc:Choice>
  </mc:AlternateContent>
  <xr:revisionPtr revIDLastSave="300" documentId="8_{6C616E08-F289-4B4F-9540-895A24C472FE}" xr6:coauthVersionLast="38" xr6:coauthVersionMax="38" xr10:uidLastSave="{1CD4D095-A953-48E5-8117-260418A0DD05}"/>
  <bookViews>
    <workbookView xWindow="0" yWindow="0" windowWidth="38400" windowHeight="12420" xr2:uid="{00000000-000D-0000-FFFF-FFFF00000000}"/>
  </bookViews>
  <sheets>
    <sheet name="Inputs and Detailed Calc" sheetId="1" r:id="rId1"/>
    <sheet name="Accumulation Phase Report" sheetId="2" r:id="rId2"/>
    <sheet name="Withdrawal Phase Repor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2" l="1"/>
  <c r="J43" i="1"/>
  <c r="J29" i="1"/>
  <c r="K42" i="1"/>
  <c r="N59" i="1"/>
  <c r="M59" i="1"/>
  <c r="K89" i="1"/>
  <c r="O26" i="1" l="1"/>
  <c r="M26" i="1"/>
  <c r="D89" i="1" l="1"/>
  <c r="D59" i="1" s="1"/>
  <c r="D90" i="1" l="1"/>
  <c r="D60" i="1" s="1"/>
  <c r="I5" i="3"/>
  <c r="I4" i="3"/>
  <c r="I3" i="3"/>
  <c r="C14" i="2"/>
  <c r="AC10" i="1"/>
  <c r="AC8" i="1"/>
  <c r="AC3" i="1"/>
  <c r="AB6" i="1"/>
  <c r="AB7" i="1" s="1"/>
  <c r="AB10" i="1"/>
  <c r="AB8" i="1"/>
  <c r="I6" i="3"/>
  <c r="J89" i="1"/>
  <c r="E36" i="1"/>
  <c r="D36" i="1" s="1"/>
  <c r="H16" i="1"/>
  <c r="U3" i="1"/>
  <c r="G18" i="1"/>
  <c r="H17" i="1"/>
  <c r="H15" i="1"/>
  <c r="E32" i="1" s="1"/>
  <c r="D32" i="1" s="1"/>
  <c r="D91" i="1" l="1"/>
  <c r="D61" i="1" s="1"/>
  <c r="J90" i="1"/>
  <c r="E28" i="1"/>
  <c r="D28" i="1" s="1"/>
  <c r="G120" i="1"/>
  <c r="M24" i="1"/>
  <c r="F89" i="1"/>
  <c r="I89" i="1" l="1"/>
  <c r="G59" i="1" s="1"/>
  <c r="C59" i="1"/>
  <c r="D92" i="1"/>
  <c r="D62" i="1" s="1"/>
  <c r="J91" i="1"/>
  <c r="I59" i="1"/>
  <c r="H120" i="1"/>
  <c r="K120" i="1"/>
  <c r="J120" i="1"/>
  <c r="I120" i="1"/>
  <c r="G89" i="1"/>
  <c r="E59" i="1" s="1"/>
  <c r="H89" i="1"/>
  <c r="F59" i="1" s="1"/>
  <c r="AI6" i="1"/>
  <c r="BZ15" i="1" s="1"/>
  <c r="AI4" i="1"/>
  <c r="AI25" i="1" s="1"/>
  <c r="AI56" i="1" s="1"/>
  <c r="AI73" i="1" s="1"/>
  <c r="AI90" i="1" s="1"/>
  <c r="AI107" i="1" s="1"/>
  <c r="AI124" i="1" s="1"/>
  <c r="AI141" i="1" s="1"/>
  <c r="AI158" i="1" s="1"/>
  <c r="AI175" i="1" s="1"/>
  <c r="AI3" i="1"/>
  <c r="AI31" i="1"/>
  <c r="AI62" i="1" s="1"/>
  <c r="AI79" i="1" s="1"/>
  <c r="AI96" i="1" s="1"/>
  <c r="AI113" i="1" s="1"/>
  <c r="AI130" i="1" s="1"/>
  <c r="AI147" i="1" s="1"/>
  <c r="AI164" i="1" s="1"/>
  <c r="AI181" i="1" s="1"/>
  <c r="AI26" i="1"/>
  <c r="AI57" i="1" s="1"/>
  <c r="AI74" i="1" s="1"/>
  <c r="AI91" i="1" s="1"/>
  <c r="AI108" i="1" s="1"/>
  <c r="AI125" i="1" s="1"/>
  <c r="AI142" i="1" s="1"/>
  <c r="AI159" i="1" s="1"/>
  <c r="AI176" i="1" s="1"/>
  <c r="AI11" i="1"/>
  <c r="AI32" i="1" s="1"/>
  <c r="AI63" i="1" s="1"/>
  <c r="AI80" i="1" s="1"/>
  <c r="AI97" i="1" s="1"/>
  <c r="AI114" i="1" s="1"/>
  <c r="AI131" i="1" s="1"/>
  <c r="AI148" i="1" s="1"/>
  <c r="AI165" i="1" s="1"/>
  <c r="AI182" i="1" s="1"/>
  <c r="L120" i="1" l="1"/>
  <c r="D93" i="1"/>
  <c r="D63" i="1" s="1"/>
  <c r="J92" i="1"/>
  <c r="AI12" i="1"/>
  <c r="BZ10" i="1"/>
  <c r="BZ6" i="1"/>
  <c r="BZ14" i="1"/>
  <c r="BZ8" i="1"/>
  <c r="BZ12" i="1"/>
  <c r="BZ16" i="1"/>
  <c r="BZ7" i="1"/>
  <c r="BZ9" i="1"/>
  <c r="BZ11" i="1"/>
  <c r="BZ13" i="1"/>
  <c r="L89" i="1"/>
  <c r="BI6" i="1"/>
  <c r="AI27" i="1"/>
  <c r="AI7" i="1"/>
  <c r="AI24" i="1"/>
  <c r="D94" i="1" l="1"/>
  <c r="D64" i="1" s="1"/>
  <c r="J93" i="1"/>
  <c r="H7" i="1" s="1"/>
  <c r="E30" i="1" s="1"/>
  <c r="D30" i="1" s="1"/>
  <c r="F7" i="2" s="1"/>
  <c r="G7" i="2" s="1"/>
  <c r="AI33" i="1"/>
  <c r="AI55" i="1"/>
  <c r="AI58" i="1"/>
  <c r="AI28" i="1"/>
  <c r="BZ36" i="1"/>
  <c r="BZ34" i="1"/>
  <c r="BZ32" i="1"/>
  <c r="BZ30" i="1"/>
  <c r="BZ28" i="1"/>
  <c r="BZ37" i="1"/>
  <c r="BZ33" i="1"/>
  <c r="BZ29" i="1"/>
  <c r="BZ35" i="1"/>
  <c r="BZ31" i="1"/>
  <c r="BZ27" i="1"/>
  <c r="D95" i="1" l="1"/>
  <c r="D65" i="1" s="1"/>
  <c r="J94" i="1"/>
  <c r="AI64" i="1"/>
  <c r="AI72" i="1"/>
  <c r="BI36" i="1"/>
  <c r="BI37" i="1"/>
  <c r="BI27" i="1"/>
  <c r="AI75" i="1"/>
  <c r="BZ68" i="1"/>
  <c r="BZ66" i="1"/>
  <c r="BZ64" i="1"/>
  <c r="BZ62" i="1"/>
  <c r="BZ60" i="1"/>
  <c r="BZ58" i="1"/>
  <c r="AI59" i="1"/>
  <c r="BZ65" i="1"/>
  <c r="BZ61" i="1"/>
  <c r="BZ67" i="1"/>
  <c r="BZ63" i="1"/>
  <c r="BZ59" i="1"/>
  <c r="D8" i="3"/>
  <c r="D6" i="3"/>
  <c r="D5" i="3"/>
  <c r="D4" i="3"/>
  <c r="C6" i="3"/>
  <c r="C5" i="3"/>
  <c r="C4" i="3"/>
  <c r="D96" i="1" l="1"/>
  <c r="D66" i="1" s="1"/>
  <c r="J95" i="1"/>
  <c r="AI92" i="1"/>
  <c r="BZ84" i="1"/>
  <c r="BZ82" i="1"/>
  <c r="BZ80" i="1"/>
  <c r="BZ78" i="1"/>
  <c r="BZ76" i="1"/>
  <c r="AI76" i="1"/>
  <c r="BZ83" i="1"/>
  <c r="BZ79" i="1"/>
  <c r="BZ75" i="1"/>
  <c r="BZ85" i="1"/>
  <c r="BZ81" i="1"/>
  <c r="BZ77" i="1"/>
  <c r="AI81" i="1"/>
  <c r="AI89" i="1"/>
  <c r="BI68" i="1"/>
  <c r="BI58" i="1"/>
  <c r="AH4" i="1"/>
  <c r="AH25" i="1" s="1"/>
  <c r="AH56" i="1" s="1"/>
  <c r="AH73" i="1" s="1"/>
  <c r="AH90" i="1" s="1"/>
  <c r="AH107" i="1" s="1"/>
  <c r="AH124" i="1" s="1"/>
  <c r="AH141" i="1" s="1"/>
  <c r="AH158" i="1" s="1"/>
  <c r="AH175" i="1" s="1"/>
  <c r="AH3" i="1"/>
  <c r="AH24" i="1" s="1"/>
  <c r="AH31" i="1"/>
  <c r="AH62" i="1" s="1"/>
  <c r="AH79" i="1" s="1"/>
  <c r="AH96" i="1" s="1"/>
  <c r="AH113" i="1" s="1"/>
  <c r="AH130" i="1" s="1"/>
  <c r="AH147" i="1" s="1"/>
  <c r="AH164" i="1" s="1"/>
  <c r="AH181" i="1" s="1"/>
  <c r="AH26" i="1"/>
  <c r="AH57" i="1" s="1"/>
  <c r="AH74" i="1" s="1"/>
  <c r="AH91" i="1" s="1"/>
  <c r="AH108" i="1" s="1"/>
  <c r="AH125" i="1" s="1"/>
  <c r="AH142" i="1" s="1"/>
  <c r="AH159" i="1" s="1"/>
  <c r="AH176" i="1" s="1"/>
  <c r="AH11" i="1"/>
  <c r="AH32" i="1" s="1"/>
  <c r="AH63" i="1" s="1"/>
  <c r="AH80" i="1" s="1"/>
  <c r="AH97" i="1" s="1"/>
  <c r="AH114" i="1" s="1"/>
  <c r="AH131" i="1" s="1"/>
  <c r="AH148" i="1" s="1"/>
  <c r="AH165" i="1" s="1"/>
  <c r="AH182" i="1" s="1"/>
  <c r="AH8" i="1"/>
  <c r="CP7" i="1" s="1"/>
  <c r="D97" i="1" l="1"/>
  <c r="D67" i="1" s="1"/>
  <c r="J96" i="1"/>
  <c r="CP10" i="1"/>
  <c r="CP8" i="1"/>
  <c r="CP12" i="1"/>
  <c r="AI98" i="1"/>
  <c r="AI106" i="1"/>
  <c r="BI84" i="1"/>
  <c r="BI85" i="1"/>
  <c r="BI83" i="1"/>
  <c r="BI75" i="1"/>
  <c r="AI109" i="1"/>
  <c r="BZ102" i="1"/>
  <c r="BZ100" i="1"/>
  <c r="BZ98" i="1"/>
  <c r="BZ96" i="1"/>
  <c r="BZ94" i="1"/>
  <c r="BZ92" i="1"/>
  <c r="AI93" i="1"/>
  <c r="BZ101" i="1"/>
  <c r="BZ97" i="1"/>
  <c r="BZ93" i="1"/>
  <c r="BZ99" i="1"/>
  <c r="BZ95" i="1"/>
  <c r="CP9" i="1"/>
  <c r="CP11" i="1"/>
  <c r="CP13" i="1"/>
  <c r="AH9" i="1"/>
  <c r="AH55" i="1"/>
  <c r="AH12" i="1"/>
  <c r="AH29" i="1"/>
  <c r="CP14" i="1"/>
  <c r="CP15" i="1"/>
  <c r="CP16" i="1"/>
  <c r="AH33" i="1"/>
  <c r="CP6" i="1"/>
  <c r="AG8" i="1"/>
  <c r="CO10" i="1" s="1"/>
  <c r="AG6" i="1"/>
  <c r="BX14" i="1" s="1"/>
  <c r="AG31" i="1"/>
  <c r="AG62" i="1" s="1"/>
  <c r="AG79" i="1" s="1"/>
  <c r="AG96" i="1" s="1"/>
  <c r="AG113" i="1" s="1"/>
  <c r="AG130" i="1" s="1"/>
  <c r="AG147" i="1" s="1"/>
  <c r="AG164" i="1" s="1"/>
  <c r="AG181" i="1" s="1"/>
  <c r="AG26" i="1"/>
  <c r="AG57" i="1" s="1"/>
  <c r="AG74" i="1" s="1"/>
  <c r="AG91" i="1" s="1"/>
  <c r="AG108" i="1" s="1"/>
  <c r="AG125" i="1" s="1"/>
  <c r="AG142" i="1" s="1"/>
  <c r="AG159" i="1" s="1"/>
  <c r="AG176" i="1" s="1"/>
  <c r="AG11" i="1"/>
  <c r="AG32" i="1" s="1"/>
  <c r="AG63" i="1" s="1"/>
  <c r="AG80" i="1" s="1"/>
  <c r="AG97" i="1" s="1"/>
  <c r="AG114" i="1" s="1"/>
  <c r="AG131" i="1" s="1"/>
  <c r="AG148" i="1" s="1"/>
  <c r="AG165" i="1" s="1"/>
  <c r="AG182" i="1" s="1"/>
  <c r="C12" i="2"/>
  <c r="C11" i="2"/>
  <c r="C10" i="2"/>
  <c r="B8" i="2"/>
  <c r="A8" i="2"/>
  <c r="C5" i="2"/>
  <c r="B5" i="2"/>
  <c r="C4" i="2"/>
  <c r="B4" i="2"/>
  <c r="D98" i="1" l="1"/>
  <c r="D68" i="1" s="1"/>
  <c r="J97" i="1"/>
  <c r="CO7" i="1"/>
  <c r="BX8" i="1"/>
  <c r="CO9" i="1"/>
  <c r="AI126" i="1"/>
  <c r="BZ118" i="1"/>
  <c r="BZ116" i="1"/>
  <c r="BZ114" i="1"/>
  <c r="BZ112" i="1"/>
  <c r="BZ110" i="1"/>
  <c r="AI110" i="1"/>
  <c r="BZ119" i="1"/>
  <c r="BZ115" i="1"/>
  <c r="BZ111" i="1"/>
  <c r="BZ117" i="1"/>
  <c r="BZ113" i="1"/>
  <c r="BZ109" i="1"/>
  <c r="AI115" i="1"/>
  <c r="AI123" i="1"/>
  <c r="BI102" i="1"/>
  <c r="BI100" i="1"/>
  <c r="BI92" i="1"/>
  <c r="BI101" i="1"/>
  <c r="BX7" i="1"/>
  <c r="BX9" i="1"/>
  <c r="BX11" i="1"/>
  <c r="CO6" i="1"/>
  <c r="BH6" i="1"/>
  <c r="AH72" i="1"/>
  <c r="AH64" i="1"/>
  <c r="CP28" i="1"/>
  <c r="CP27" i="1"/>
  <c r="AH60" i="1"/>
  <c r="CP37" i="1"/>
  <c r="CP30" i="1"/>
  <c r="CP36" i="1"/>
  <c r="AH30" i="1"/>
  <c r="CP35" i="1"/>
  <c r="CP34" i="1"/>
  <c r="CP33" i="1"/>
  <c r="CP32" i="1"/>
  <c r="CP31" i="1"/>
  <c r="CP29" i="1"/>
  <c r="BH27" i="1"/>
  <c r="BH36" i="1"/>
  <c r="BH37" i="1"/>
  <c r="BX10" i="1"/>
  <c r="BX12" i="1"/>
  <c r="BX13" i="1"/>
  <c r="CO11" i="1"/>
  <c r="AG7" i="1"/>
  <c r="BX15" i="1"/>
  <c r="CO13" i="1"/>
  <c r="AG9" i="1"/>
  <c r="CO12" i="1"/>
  <c r="BX16" i="1"/>
  <c r="CO14" i="1"/>
  <c r="AG27" i="1"/>
  <c r="CO15" i="1"/>
  <c r="BX6" i="1"/>
  <c r="CO16" i="1"/>
  <c r="AG29" i="1"/>
  <c r="CO8" i="1"/>
  <c r="AF6" i="1"/>
  <c r="AF27" i="1" s="1"/>
  <c r="AF4" i="1"/>
  <c r="AF25" i="1" s="1"/>
  <c r="AF56" i="1" s="1"/>
  <c r="AF73" i="1" s="1"/>
  <c r="AF90" i="1" s="1"/>
  <c r="AF107" i="1" s="1"/>
  <c r="AF124" i="1" s="1"/>
  <c r="AF141" i="1" s="1"/>
  <c r="AF158" i="1" s="1"/>
  <c r="AF175" i="1" s="1"/>
  <c r="AF3" i="1"/>
  <c r="AF24" i="1" s="1"/>
  <c r="AF26" i="1"/>
  <c r="AF57" i="1" s="1"/>
  <c r="AF74" i="1" s="1"/>
  <c r="AF91" i="1" s="1"/>
  <c r="AF108" i="1" s="1"/>
  <c r="AF125" i="1" s="1"/>
  <c r="AF142" i="1" s="1"/>
  <c r="AF159" i="1" s="1"/>
  <c r="AF176" i="1" s="1"/>
  <c r="BW15" i="1"/>
  <c r="BW11" i="1"/>
  <c r="BW7" i="1"/>
  <c r="AE6" i="1"/>
  <c r="BV8" i="1" s="1"/>
  <c r="AE4" i="1"/>
  <c r="AE25" i="1" s="1"/>
  <c r="AE56" i="1" s="1"/>
  <c r="AE73" i="1" s="1"/>
  <c r="AE90" i="1" s="1"/>
  <c r="AE107" i="1" s="1"/>
  <c r="AE124" i="1" s="1"/>
  <c r="AE141" i="1" s="1"/>
  <c r="AE158" i="1" s="1"/>
  <c r="AE175" i="1" s="1"/>
  <c r="AE3" i="1"/>
  <c r="AE24" i="1" s="1"/>
  <c r="AE26" i="1"/>
  <c r="AE57" i="1" s="1"/>
  <c r="AE74" i="1" s="1"/>
  <c r="AE91" i="1" s="1"/>
  <c r="AE108" i="1" s="1"/>
  <c r="AE125" i="1" s="1"/>
  <c r="AE142" i="1" s="1"/>
  <c r="AE159" i="1" s="1"/>
  <c r="AE176" i="1" s="1"/>
  <c r="AE7" i="1"/>
  <c r="AD6" i="1"/>
  <c r="BU14" i="1" s="1"/>
  <c r="AD4" i="1"/>
  <c r="AD25" i="1" s="1"/>
  <c r="AD56" i="1" s="1"/>
  <c r="AD73" i="1" s="1"/>
  <c r="AD90" i="1" s="1"/>
  <c r="AD107" i="1" s="1"/>
  <c r="AD124" i="1" s="1"/>
  <c r="AD141" i="1" s="1"/>
  <c r="AD158" i="1" s="1"/>
  <c r="AD175" i="1" s="1"/>
  <c r="AD3" i="1"/>
  <c r="AD24" i="1" s="1"/>
  <c r="AD26" i="1"/>
  <c r="AD57" i="1" s="1"/>
  <c r="AD74" i="1" s="1"/>
  <c r="AD91" i="1" s="1"/>
  <c r="AD108" i="1" s="1"/>
  <c r="AD125" i="1" s="1"/>
  <c r="AD142" i="1" s="1"/>
  <c r="AD159" i="1" s="1"/>
  <c r="AD176" i="1" s="1"/>
  <c r="AC6" i="1"/>
  <c r="AC27" i="1" s="1"/>
  <c r="AC4" i="1"/>
  <c r="AC25" i="1" s="1"/>
  <c r="AC56" i="1" s="1"/>
  <c r="AC73" i="1" s="1"/>
  <c r="AC90" i="1" s="1"/>
  <c r="AC107" i="1" s="1"/>
  <c r="AC124" i="1" s="1"/>
  <c r="AC141" i="1" s="1"/>
  <c r="AC158" i="1" s="1"/>
  <c r="AC175" i="1" s="1"/>
  <c r="AC24" i="1"/>
  <c r="AC26" i="1"/>
  <c r="AC57" i="1" s="1"/>
  <c r="AC74" i="1" s="1"/>
  <c r="AC91" i="1" s="1"/>
  <c r="AC108" i="1" s="1"/>
  <c r="AC125" i="1" s="1"/>
  <c r="AC142" i="1" s="1"/>
  <c r="AC159" i="1" s="1"/>
  <c r="AC176" i="1" s="1"/>
  <c r="BT16" i="1"/>
  <c r="AB4" i="1"/>
  <c r="AB25" i="1" s="1"/>
  <c r="AB56" i="1" s="1"/>
  <c r="AB73" i="1" s="1"/>
  <c r="AB90" i="1" s="1"/>
  <c r="AB107" i="1" s="1"/>
  <c r="AB124" i="1" s="1"/>
  <c r="AB141" i="1" s="1"/>
  <c r="AB158" i="1" s="1"/>
  <c r="AB175" i="1" s="1"/>
  <c r="AB3" i="1"/>
  <c r="AB24" i="1" s="1"/>
  <c r="AA3" i="1"/>
  <c r="AA24" i="1" s="1"/>
  <c r="AB26" i="1"/>
  <c r="AB57" i="1" s="1"/>
  <c r="AB74" i="1" s="1"/>
  <c r="AB91" i="1" s="1"/>
  <c r="AB108" i="1" s="1"/>
  <c r="AB125" i="1" s="1"/>
  <c r="AB142" i="1" s="1"/>
  <c r="AB159" i="1" s="1"/>
  <c r="AB176" i="1" s="1"/>
  <c r="BS8" i="1"/>
  <c r="AA6" i="1"/>
  <c r="BR16" i="1" s="1"/>
  <c r="AA4" i="1"/>
  <c r="AA26" i="1"/>
  <c r="AA57" i="1" s="1"/>
  <c r="AA74" i="1" s="1"/>
  <c r="AA91" i="1" s="1"/>
  <c r="AA108" i="1" s="1"/>
  <c r="AA125" i="1" s="1"/>
  <c r="AA142" i="1" s="1"/>
  <c r="AA159" i="1" s="1"/>
  <c r="AA176" i="1" s="1"/>
  <c r="Z6" i="1"/>
  <c r="BQ12" i="1" s="1"/>
  <c r="Z4" i="1"/>
  <c r="Z3" i="1"/>
  <c r="Z11" i="1"/>
  <c r="CH7" i="1"/>
  <c r="CH9" i="1"/>
  <c r="Y8" i="1"/>
  <c r="Y9" i="1" s="1"/>
  <c r="Y11" i="1"/>
  <c r="X8" i="1"/>
  <c r="CF11" i="1" s="1"/>
  <c r="W8" i="1"/>
  <c r="CE14" i="1" s="1"/>
  <c r="D99" i="1" l="1"/>
  <c r="D69" i="1" s="1"/>
  <c r="J98" i="1"/>
  <c r="H8" i="1" s="1"/>
  <c r="BT6" i="1"/>
  <c r="BT11" i="1"/>
  <c r="BV11" i="1"/>
  <c r="BR8" i="1"/>
  <c r="BT7" i="1"/>
  <c r="BT15" i="1"/>
  <c r="BW9" i="1"/>
  <c r="BW13" i="1"/>
  <c r="BV6" i="1"/>
  <c r="BV13" i="1"/>
  <c r="BU9" i="1"/>
  <c r="AI132" i="1"/>
  <c r="AI140" i="1"/>
  <c r="BI118" i="1"/>
  <c r="BI117" i="1"/>
  <c r="BI109" i="1"/>
  <c r="BI119" i="1"/>
  <c r="AI143" i="1"/>
  <c r="BZ136" i="1"/>
  <c r="BZ134" i="1"/>
  <c r="BZ132" i="1"/>
  <c r="BZ130" i="1"/>
  <c r="BZ128" i="1"/>
  <c r="BZ126" i="1"/>
  <c r="AI127" i="1"/>
  <c r="BZ133" i="1"/>
  <c r="BZ129" i="1"/>
  <c r="BZ135" i="1"/>
  <c r="BZ131" i="1"/>
  <c r="BZ127" i="1"/>
  <c r="AF58" i="1"/>
  <c r="BW61" i="1" s="1"/>
  <c r="BW30" i="1"/>
  <c r="BW35" i="1"/>
  <c r="BW29" i="1"/>
  <c r="BS12" i="1"/>
  <c r="BV9" i="1"/>
  <c r="BV12" i="1"/>
  <c r="BV14" i="1"/>
  <c r="BW6" i="1"/>
  <c r="BW8" i="1"/>
  <c r="BW10" i="1"/>
  <c r="BW12" i="1"/>
  <c r="BW14" i="1"/>
  <c r="BW16" i="1"/>
  <c r="AF7" i="1"/>
  <c r="BU10" i="1"/>
  <c r="BU12" i="1"/>
  <c r="BU15" i="1"/>
  <c r="AD27" i="1"/>
  <c r="AD58" i="1" s="1"/>
  <c r="AD75" i="1" s="1"/>
  <c r="BH58" i="1"/>
  <c r="BH68" i="1"/>
  <c r="AH81" i="1"/>
  <c r="AH89" i="1"/>
  <c r="CP60" i="1"/>
  <c r="AH61" i="1"/>
  <c r="CP59" i="1"/>
  <c r="CP58" i="1"/>
  <c r="CP68" i="1"/>
  <c r="AH77" i="1"/>
  <c r="CP67" i="1"/>
  <c r="CP66" i="1"/>
  <c r="CP65" i="1"/>
  <c r="CP64" i="1"/>
  <c r="CP62" i="1"/>
  <c r="CP63" i="1"/>
  <c r="CP61" i="1"/>
  <c r="CO31" i="1"/>
  <c r="CO30" i="1"/>
  <c r="CO28" i="1"/>
  <c r="AG60" i="1"/>
  <c r="CO29" i="1"/>
  <c r="CO27" i="1"/>
  <c r="AG30" i="1"/>
  <c r="CO37" i="1"/>
  <c r="CO33" i="1"/>
  <c r="CO36" i="1"/>
  <c r="CO35" i="1"/>
  <c r="CO34" i="1"/>
  <c r="CO32" i="1"/>
  <c r="BX33" i="1"/>
  <c r="BX32" i="1"/>
  <c r="AG58" i="1"/>
  <c r="BX28" i="1"/>
  <c r="BX36" i="1"/>
  <c r="BX34" i="1"/>
  <c r="BX30" i="1"/>
  <c r="AG28" i="1"/>
  <c r="BX27" i="1"/>
  <c r="BX31" i="1"/>
  <c r="BX37" i="1"/>
  <c r="BX29" i="1"/>
  <c r="BX35" i="1"/>
  <c r="BU16" i="1"/>
  <c r="BU6" i="1"/>
  <c r="BV10" i="1"/>
  <c r="BU7" i="1"/>
  <c r="BU37" i="1"/>
  <c r="BR6" i="1"/>
  <c r="BU8" i="1"/>
  <c r="AD7" i="1"/>
  <c r="BT14" i="1"/>
  <c r="BU11" i="1"/>
  <c r="BV15" i="1"/>
  <c r="BU13" i="1"/>
  <c r="AE27" i="1"/>
  <c r="BV35" i="1" s="1"/>
  <c r="AC58" i="1"/>
  <c r="BT68" i="1" s="1"/>
  <c r="BT28" i="1"/>
  <c r="BT29" i="1"/>
  <c r="BT30" i="1"/>
  <c r="BT27" i="1"/>
  <c r="BR7" i="1"/>
  <c r="BR10" i="1"/>
  <c r="BR11" i="1"/>
  <c r="BQ15" i="1"/>
  <c r="BR12" i="1"/>
  <c r="BT9" i="1"/>
  <c r="AC7" i="1"/>
  <c r="BV16" i="1"/>
  <c r="BQ9" i="1"/>
  <c r="BT8" i="1"/>
  <c r="Z7" i="1"/>
  <c r="BR13" i="1"/>
  <c r="BT10" i="1"/>
  <c r="BQ10" i="1"/>
  <c r="AA27" i="1"/>
  <c r="AA28" i="1" s="1"/>
  <c r="BR9" i="1"/>
  <c r="BR15" i="1"/>
  <c r="BT12" i="1"/>
  <c r="BV7" i="1"/>
  <c r="BR14" i="1"/>
  <c r="BS9" i="1"/>
  <c r="BS10" i="1"/>
  <c r="BT13" i="1"/>
  <c r="BW31" i="1"/>
  <c r="BW32" i="1"/>
  <c r="BW33" i="1"/>
  <c r="BW34" i="1"/>
  <c r="BW36" i="1"/>
  <c r="AF28" i="1"/>
  <c r="BW27" i="1"/>
  <c r="BW37" i="1"/>
  <c r="BW28" i="1"/>
  <c r="BW68" i="1"/>
  <c r="AF55" i="1"/>
  <c r="AE55" i="1"/>
  <c r="BU64" i="1"/>
  <c r="AD55" i="1"/>
  <c r="BT31" i="1"/>
  <c r="BT32" i="1"/>
  <c r="BT33" i="1"/>
  <c r="BT35" i="1"/>
  <c r="AC28" i="1"/>
  <c r="BT34" i="1"/>
  <c r="BT36" i="1"/>
  <c r="BT37" i="1"/>
  <c r="AC55" i="1"/>
  <c r="BS11" i="1"/>
  <c r="BS13" i="1"/>
  <c r="BS14" i="1"/>
  <c r="BS15" i="1"/>
  <c r="CG15" i="1"/>
  <c r="AB27" i="1"/>
  <c r="BS16" i="1"/>
  <c r="CG16" i="1"/>
  <c r="BS6" i="1"/>
  <c r="BQ11" i="1"/>
  <c r="BS7" i="1"/>
  <c r="AB55" i="1"/>
  <c r="AA25" i="1"/>
  <c r="AA56" i="1" s="1"/>
  <c r="AA73" i="1" s="1"/>
  <c r="AA90" i="1" s="1"/>
  <c r="AA107" i="1" s="1"/>
  <c r="AA124" i="1" s="1"/>
  <c r="AA141" i="1" s="1"/>
  <c r="AA158" i="1" s="1"/>
  <c r="AA175" i="1" s="1"/>
  <c r="AA7" i="1"/>
  <c r="AA55" i="1"/>
  <c r="Z12" i="1"/>
  <c r="CH8" i="1"/>
  <c r="BQ13" i="1"/>
  <c r="CH11" i="1"/>
  <c r="Z9" i="1"/>
  <c r="CH10" i="1"/>
  <c r="BQ14" i="1"/>
  <c r="CH12" i="1"/>
  <c r="CH13" i="1"/>
  <c r="BQ16" i="1"/>
  <c r="CH14" i="1"/>
  <c r="CH15" i="1"/>
  <c r="BQ6" i="1"/>
  <c r="CH16" i="1"/>
  <c r="BQ7" i="1"/>
  <c r="BQ8" i="1"/>
  <c r="CH6" i="1"/>
  <c r="CG6" i="1"/>
  <c r="CG7" i="1"/>
  <c r="CG8" i="1"/>
  <c r="CE10" i="1"/>
  <c r="CG9" i="1"/>
  <c r="CE8" i="1"/>
  <c r="CG10" i="1"/>
  <c r="CG11" i="1"/>
  <c r="CE13" i="1"/>
  <c r="CE15" i="1"/>
  <c r="CG12" i="1"/>
  <c r="CE12" i="1"/>
  <c r="CG13" i="1"/>
  <c r="CG14" i="1"/>
  <c r="CF12" i="1"/>
  <c r="CF7" i="1"/>
  <c r="CF9" i="1"/>
  <c r="CF10" i="1"/>
  <c r="CE16" i="1"/>
  <c r="CF13" i="1"/>
  <c r="CF14" i="1"/>
  <c r="CE6" i="1"/>
  <c r="CF15" i="1"/>
  <c r="CE7" i="1"/>
  <c r="CF16" i="1"/>
  <c r="CE9" i="1"/>
  <c r="CF6" i="1"/>
  <c r="CE11" i="1"/>
  <c r="CF8" i="1"/>
  <c r="U4" i="1"/>
  <c r="U25" i="1" s="1"/>
  <c r="U56" i="1" s="1"/>
  <c r="U73" i="1" s="1"/>
  <c r="U90" i="1" s="1"/>
  <c r="U107" i="1" s="1"/>
  <c r="U124" i="1" s="1"/>
  <c r="U141" i="1" s="1"/>
  <c r="U158" i="1" s="1"/>
  <c r="U175" i="1" s="1"/>
  <c r="T8" i="1"/>
  <c r="T6" i="1"/>
  <c r="T27" i="1" s="1"/>
  <c r="BK29" i="1" s="1"/>
  <c r="T4" i="1"/>
  <c r="AG4" i="1" s="1"/>
  <c r="AG25" i="1" s="1"/>
  <c r="AG56" i="1" s="1"/>
  <c r="AG73" i="1" s="1"/>
  <c r="AG90" i="1" s="1"/>
  <c r="AG107" i="1" s="1"/>
  <c r="AG124" i="1" s="1"/>
  <c r="AG141" i="1" s="1"/>
  <c r="AG158" i="1" s="1"/>
  <c r="AG175" i="1" s="1"/>
  <c r="S6" i="1"/>
  <c r="BJ9" i="1" s="1"/>
  <c r="S3" i="1"/>
  <c r="W3" i="1" s="1"/>
  <c r="W24" i="1" s="1"/>
  <c r="T3" i="1"/>
  <c r="AZ206" i="1"/>
  <c r="AM206" i="1"/>
  <c r="J206" i="1"/>
  <c r="AU191" i="1"/>
  <c r="BO204" i="1" s="1"/>
  <c r="W191" i="1"/>
  <c r="B191" i="1"/>
  <c r="Q204" i="1" s="1"/>
  <c r="AV187" i="1"/>
  <c r="AJ187" i="1"/>
  <c r="AV186" i="1"/>
  <c r="AV185" i="1"/>
  <c r="AK184" i="1"/>
  <c r="AK183" i="1"/>
  <c r="AP183" i="1" s="1"/>
  <c r="AQ183" i="1" s="1"/>
  <c r="AK182" i="1"/>
  <c r="AP182" i="1" s="1"/>
  <c r="AQ182" i="1" s="1"/>
  <c r="AK181" i="1"/>
  <c r="AP181" i="1" s="1"/>
  <c r="AQ181" i="1" s="1"/>
  <c r="AK180" i="1"/>
  <c r="AP180" i="1" s="1"/>
  <c r="AQ180" i="1" s="1"/>
  <c r="AK179" i="1"/>
  <c r="AP179" i="1" s="1"/>
  <c r="AQ179" i="1" s="1"/>
  <c r="CU178" i="1"/>
  <c r="AK178" i="1"/>
  <c r="AP178" i="1" s="1"/>
  <c r="AQ178" i="1" s="1"/>
  <c r="CU177" i="1"/>
  <c r="AP177" i="1"/>
  <c r="AQ177" i="1" s="1"/>
  <c r="AR177" i="1" s="1"/>
  <c r="AJ170" i="1"/>
  <c r="AK168" i="1"/>
  <c r="AK167" i="1"/>
  <c r="AP167" i="1" s="1"/>
  <c r="AQ167" i="1" s="1"/>
  <c r="AK166" i="1"/>
  <c r="AP166" i="1" s="1"/>
  <c r="AQ166" i="1" s="1"/>
  <c r="AK165" i="1"/>
  <c r="AP165" i="1" s="1"/>
  <c r="AQ165" i="1" s="1"/>
  <c r="AK164" i="1"/>
  <c r="AP164" i="1" s="1"/>
  <c r="AQ164" i="1" s="1"/>
  <c r="AK163" i="1"/>
  <c r="AP163" i="1" s="1"/>
  <c r="AQ163" i="1" s="1"/>
  <c r="AK162" i="1"/>
  <c r="AP162" i="1" s="1"/>
  <c r="AQ162" i="1" s="1"/>
  <c r="CU161" i="1"/>
  <c r="AK161" i="1"/>
  <c r="AP161" i="1" s="1"/>
  <c r="AQ161" i="1" s="1"/>
  <c r="CU160" i="1"/>
  <c r="AP160" i="1"/>
  <c r="AQ160" i="1" s="1"/>
  <c r="AR160" i="1" s="1"/>
  <c r="AK153" i="1"/>
  <c r="AJ153" i="1"/>
  <c r="AK152" i="1"/>
  <c r="AP152" i="1" s="1"/>
  <c r="AQ152" i="1" s="1"/>
  <c r="AK151" i="1"/>
  <c r="AP151" i="1" s="1"/>
  <c r="AQ151" i="1" s="1"/>
  <c r="AK150" i="1"/>
  <c r="AP150" i="1" s="1"/>
  <c r="AQ150" i="1" s="1"/>
  <c r="AK149" i="1"/>
  <c r="AP149" i="1" s="1"/>
  <c r="AQ149" i="1" s="1"/>
  <c r="AK148" i="1"/>
  <c r="AP148" i="1" s="1"/>
  <c r="AQ148" i="1" s="1"/>
  <c r="AK147" i="1"/>
  <c r="AP147" i="1" s="1"/>
  <c r="AQ147" i="1" s="1"/>
  <c r="AK146" i="1"/>
  <c r="AP146" i="1" s="1"/>
  <c r="AQ146" i="1" s="1"/>
  <c r="AK145" i="1"/>
  <c r="AP145" i="1" s="1"/>
  <c r="AQ145" i="1" s="1"/>
  <c r="CU144" i="1"/>
  <c r="AK144" i="1"/>
  <c r="AP144" i="1" s="1"/>
  <c r="AQ144" i="1" s="1"/>
  <c r="CU143" i="1"/>
  <c r="AP143" i="1"/>
  <c r="AQ143" i="1" s="1"/>
  <c r="AR143" i="1" s="1"/>
  <c r="AJ136" i="1"/>
  <c r="AK134" i="1"/>
  <c r="AK133" i="1"/>
  <c r="AP133" i="1" s="1"/>
  <c r="AQ133" i="1" s="1"/>
  <c r="AK132" i="1"/>
  <c r="AP132" i="1" s="1"/>
  <c r="AQ132" i="1" s="1"/>
  <c r="AK131" i="1"/>
  <c r="AP131" i="1" s="1"/>
  <c r="AQ131" i="1" s="1"/>
  <c r="AK130" i="1"/>
  <c r="AP130" i="1" s="1"/>
  <c r="AQ130" i="1" s="1"/>
  <c r="AK129" i="1"/>
  <c r="AP129" i="1" s="1"/>
  <c r="AQ129" i="1" s="1"/>
  <c r="AK128" i="1"/>
  <c r="AP128" i="1" s="1"/>
  <c r="AQ128" i="1" s="1"/>
  <c r="CU127" i="1"/>
  <c r="AK127" i="1"/>
  <c r="AP127" i="1" s="1"/>
  <c r="AQ127" i="1" s="1"/>
  <c r="CU126" i="1"/>
  <c r="AP126" i="1"/>
  <c r="AQ126" i="1" s="1"/>
  <c r="AR126" i="1" s="1"/>
  <c r="AJ119" i="1"/>
  <c r="AK116" i="1"/>
  <c r="AK115" i="1"/>
  <c r="AP115" i="1" s="1"/>
  <c r="AQ115" i="1" s="1"/>
  <c r="AK114" i="1"/>
  <c r="AP114" i="1" s="1"/>
  <c r="AQ114" i="1" s="1"/>
  <c r="AK113" i="1"/>
  <c r="AP113" i="1" s="1"/>
  <c r="AQ113" i="1" s="1"/>
  <c r="AK112" i="1"/>
  <c r="AP112" i="1" s="1"/>
  <c r="AQ112" i="1" s="1"/>
  <c r="AK111" i="1"/>
  <c r="AP111" i="1" s="1"/>
  <c r="AQ111" i="1" s="1"/>
  <c r="CU110" i="1"/>
  <c r="AK110" i="1"/>
  <c r="AP110" i="1" s="1"/>
  <c r="AQ110" i="1" s="1"/>
  <c r="CU109" i="1"/>
  <c r="AP109" i="1"/>
  <c r="AQ109" i="1" s="1"/>
  <c r="AR109" i="1" s="1"/>
  <c r="AJ102" i="1"/>
  <c r="AK98" i="1"/>
  <c r="AK97" i="1"/>
  <c r="AP97" i="1" s="1"/>
  <c r="AQ97" i="1" s="1"/>
  <c r="AK96" i="1"/>
  <c r="AP96" i="1" s="1"/>
  <c r="AQ96" i="1" s="1"/>
  <c r="AK95" i="1"/>
  <c r="AP95" i="1" s="1"/>
  <c r="AQ95" i="1" s="1"/>
  <c r="AK94" i="1"/>
  <c r="AP94" i="1" s="1"/>
  <c r="AQ94" i="1" s="1"/>
  <c r="CU93" i="1"/>
  <c r="AK93" i="1"/>
  <c r="AP93" i="1" s="1"/>
  <c r="AQ93" i="1" s="1"/>
  <c r="CU92" i="1"/>
  <c r="AP92" i="1"/>
  <c r="AQ92" i="1" s="1"/>
  <c r="AR92" i="1" s="1"/>
  <c r="AJ85" i="1"/>
  <c r="AK81" i="1"/>
  <c r="AK80" i="1"/>
  <c r="AP80" i="1" s="1"/>
  <c r="AQ80" i="1" s="1"/>
  <c r="AK79" i="1"/>
  <c r="AP79" i="1" s="1"/>
  <c r="AQ79" i="1" s="1"/>
  <c r="AK78" i="1"/>
  <c r="AP78" i="1" s="1"/>
  <c r="AQ78" i="1" s="1"/>
  <c r="AK77" i="1"/>
  <c r="AP77" i="1" s="1"/>
  <c r="AQ77" i="1" s="1"/>
  <c r="CU76" i="1"/>
  <c r="AK76" i="1"/>
  <c r="AP76" i="1" s="1"/>
  <c r="AQ76" i="1" s="1"/>
  <c r="CU75" i="1"/>
  <c r="AP75" i="1"/>
  <c r="AQ75" i="1" s="1"/>
  <c r="AR75" i="1" s="1"/>
  <c r="AJ68" i="1"/>
  <c r="AK67" i="1"/>
  <c r="AK66" i="1"/>
  <c r="AP66" i="1" s="1"/>
  <c r="AQ66" i="1" s="1"/>
  <c r="AK65" i="1"/>
  <c r="AP65" i="1" s="1"/>
  <c r="AQ65" i="1" s="1"/>
  <c r="AK64" i="1"/>
  <c r="AP64" i="1" s="1"/>
  <c r="AQ64" i="1" s="1"/>
  <c r="AK63" i="1"/>
  <c r="AP63" i="1" s="1"/>
  <c r="AQ63" i="1" s="1"/>
  <c r="AK62" i="1"/>
  <c r="AP62" i="1" s="1"/>
  <c r="AQ62" i="1" s="1"/>
  <c r="AK61" i="1"/>
  <c r="AP61" i="1" s="1"/>
  <c r="AQ61" i="1" s="1"/>
  <c r="AK60" i="1"/>
  <c r="AP60" i="1" s="1"/>
  <c r="AQ60" i="1" s="1"/>
  <c r="Q60" i="1"/>
  <c r="CU59" i="1"/>
  <c r="AK59" i="1"/>
  <c r="AP59" i="1" s="1"/>
  <c r="AQ59" i="1" s="1"/>
  <c r="CU58" i="1"/>
  <c r="AP58" i="1"/>
  <c r="AQ58" i="1" s="1"/>
  <c r="AR58" i="1" s="1"/>
  <c r="Q39" i="1"/>
  <c r="AJ37" i="1"/>
  <c r="Q37" i="1"/>
  <c r="AK35" i="1"/>
  <c r="AK34" i="1"/>
  <c r="AP34" i="1" s="1"/>
  <c r="AQ34" i="1" s="1"/>
  <c r="Q34" i="1"/>
  <c r="AK33" i="1"/>
  <c r="AP33" i="1" s="1"/>
  <c r="AQ33" i="1" s="1"/>
  <c r="AK32" i="1"/>
  <c r="AP32" i="1" s="1"/>
  <c r="AQ32" i="1" s="1"/>
  <c r="AK31" i="1"/>
  <c r="AP31" i="1" s="1"/>
  <c r="AQ31" i="1" s="1"/>
  <c r="Z31" i="1"/>
  <c r="Z62" i="1" s="1"/>
  <c r="Z79" i="1" s="1"/>
  <c r="Z96" i="1" s="1"/>
  <c r="Z113" i="1" s="1"/>
  <c r="Z130" i="1" s="1"/>
  <c r="Z147" i="1" s="1"/>
  <c r="Z164" i="1" s="1"/>
  <c r="Z181" i="1" s="1"/>
  <c r="Y31" i="1"/>
  <c r="Y62" i="1" s="1"/>
  <c r="Y79" i="1" s="1"/>
  <c r="Y96" i="1" s="1"/>
  <c r="Y113" i="1" s="1"/>
  <c r="Y130" i="1" s="1"/>
  <c r="Y147" i="1" s="1"/>
  <c r="Y164" i="1" s="1"/>
  <c r="Y181" i="1" s="1"/>
  <c r="X31" i="1"/>
  <c r="X62" i="1" s="1"/>
  <c r="X79" i="1" s="1"/>
  <c r="X96" i="1" s="1"/>
  <c r="X113" i="1" s="1"/>
  <c r="X130" i="1" s="1"/>
  <c r="X147" i="1" s="1"/>
  <c r="X164" i="1" s="1"/>
  <c r="X181" i="1" s="1"/>
  <c r="W31" i="1"/>
  <c r="W62" i="1" s="1"/>
  <c r="W79" i="1" s="1"/>
  <c r="W96" i="1" s="1"/>
  <c r="W113" i="1" s="1"/>
  <c r="W130" i="1" s="1"/>
  <c r="W147" i="1" s="1"/>
  <c r="W164" i="1" s="1"/>
  <c r="W181" i="1" s="1"/>
  <c r="V31" i="1"/>
  <c r="V62" i="1" s="1"/>
  <c r="V79" i="1" s="1"/>
  <c r="V96" i="1" s="1"/>
  <c r="V113" i="1" s="1"/>
  <c r="V130" i="1" s="1"/>
  <c r="V147" i="1" s="1"/>
  <c r="V164" i="1" s="1"/>
  <c r="V181" i="1" s="1"/>
  <c r="U31" i="1"/>
  <c r="U62" i="1" s="1"/>
  <c r="U79" i="1" s="1"/>
  <c r="U96" i="1" s="1"/>
  <c r="U113" i="1" s="1"/>
  <c r="U130" i="1" s="1"/>
  <c r="U147" i="1" s="1"/>
  <c r="U164" i="1" s="1"/>
  <c r="U181" i="1" s="1"/>
  <c r="T31" i="1"/>
  <c r="T62" i="1" s="1"/>
  <c r="T79" i="1" s="1"/>
  <c r="T96" i="1" s="1"/>
  <c r="T113" i="1" s="1"/>
  <c r="T130" i="1" s="1"/>
  <c r="T147" i="1" s="1"/>
  <c r="T164" i="1" s="1"/>
  <c r="T181" i="1" s="1"/>
  <c r="S31" i="1"/>
  <c r="S62" i="1" s="1"/>
  <c r="S79" i="1" s="1"/>
  <c r="S96" i="1" s="1"/>
  <c r="S113" i="1" s="1"/>
  <c r="S130" i="1" s="1"/>
  <c r="S147" i="1" s="1"/>
  <c r="S164" i="1" s="1"/>
  <c r="S181" i="1" s="1"/>
  <c r="AK30" i="1"/>
  <c r="AP30" i="1" s="1"/>
  <c r="AQ30" i="1" s="1"/>
  <c r="AK29" i="1"/>
  <c r="AP29" i="1" s="1"/>
  <c r="AQ29" i="1" s="1"/>
  <c r="Z29" i="1"/>
  <c r="Y29" i="1"/>
  <c r="X29" i="1"/>
  <c r="W29" i="1"/>
  <c r="CU28" i="1"/>
  <c r="AK28" i="1"/>
  <c r="AP28" i="1" s="1"/>
  <c r="AQ28" i="1" s="1"/>
  <c r="CU27" i="1"/>
  <c r="AP27" i="1"/>
  <c r="AQ27" i="1" s="1"/>
  <c r="AR27" i="1" s="1"/>
  <c r="Z27" i="1"/>
  <c r="Z26" i="1"/>
  <c r="Z57" i="1" s="1"/>
  <c r="Z74" i="1" s="1"/>
  <c r="Z91" i="1" s="1"/>
  <c r="Z108" i="1" s="1"/>
  <c r="Z125" i="1" s="1"/>
  <c r="Z142" i="1" s="1"/>
  <c r="Z159" i="1" s="1"/>
  <c r="Z176" i="1" s="1"/>
  <c r="Y26" i="1"/>
  <c r="Y57" i="1" s="1"/>
  <c r="Y74" i="1" s="1"/>
  <c r="Y91" i="1" s="1"/>
  <c r="Y108" i="1" s="1"/>
  <c r="Y125" i="1" s="1"/>
  <c r="Y142" i="1" s="1"/>
  <c r="Y159" i="1" s="1"/>
  <c r="Y176" i="1" s="1"/>
  <c r="X26" i="1"/>
  <c r="X57" i="1" s="1"/>
  <c r="X74" i="1" s="1"/>
  <c r="X91" i="1" s="1"/>
  <c r="X108" i="1" s="1"/>
  <c r="X125" i="1" s="1"/>
  <c r="X142" i="1" s="1"/>
  <c r="X159" i="1" s="1"/>
  <c r="X176" i="1" s="1"/>
  <c r="W26" i="1"/>
  <c r="W57" i="1" s="1"/>
  <c r="W74" i="1" s="1"/>
  <c r="W91" i="1" s="1"/>
  <c r="W108" i="1" s="1"/>
  <c r="W125" i="1" s="1"/>
  <c r="W142" i="1" s="1"/>
  <c r="W159" i="1" s="1"/>
  <c r="W176" i="1" s="1"/>
  <c r="V26" i="1"/>
  <c r="V57" i="1" s="1"/>
  <c r="V74" i="1" s="1"/>
  <c r="V91" i="1" s="1"/>
  <c r="V108" i="1" s="1"/>
  <c r="V125" i="1" s="1"/>
  <c r="V142" i="1" s="1"/>
  <c r="V159" i="1" s="1"/>
  <c r="V176" i="1" s="1"/>
  <c r="U26" i="1"/>
  <c r="U57" i="1" s="1"/>
  <c r="U74" i="1" s="1"/>
  <c r="U91" i="1" s="1"/>
  <c r="U108" i="1" s="1"/>
  <c r="U125" i="1" s="1"/>
  <c r="U142" i="1" s="1"/>
  <c r="U159" i="1" s="1"/>
  <c r="U176" i="1" s="1"/>
  <c r="T26" i="1"/>
  <c r="T57" i="1" s="1"/>
  <c r="T74" i="1" s="1"/>
  <c r="T91" i="1" s="1"/>
  <c r="T108" i="1" s="1"/>
  <c r="T125" i="1" s="1"/>
  <c r="T142" i="1" s="1"/>
  <c r="T159" i="1" s="1"/>
  <c r="T176" i="1" s="1"/>
  <c r="S26" i="1"/>
  <c r="S57" i="1" s="1"/>
  <c r="S74" i="1" s="1"/>
  <c r="S91" i="1" s="1"/>
  <c r="S108" i="1" s="1"/>
  <c r="S125" i="1" s="1"/>
  <c r="S142" i="1" s="1"/>
  <c r="S159" i="1" s="1"/>
  <c r="S176" i="1" s="1"/>
  <c r="AK16" i="1"/>
  <c r="L26" i="1" s="1"/>
  <c r="AJ16" i="1"/>
  <c r="O25" i="1"/>
  <c r="M25" i="1"/>
  <c r="AK15" i="1"/>
  <c r="L25" i="1" s="1"/>
  <c r="O24" i="1"/>
  <c r="AK14" i="1"/>
  <c r="AP14" i="1" s="1"/>
  <c r="AQ14" i="1" s="1"/>
  <c r="O23" i="1"/>
  <c r="M23" i="1"/>
  <c r="AK13" i="1"/>
  <c r="AP13" i="1" s="1"/>
  <c r="AQ13" i="1" s="1"/>
  <c r="O22" i="1"/>
  <c r="M22" i="1"/>
  <c r="AK12" i="1"/>
  <c r="AP12" i="1" s="1"/>
  <c r="AQ12" i="1" s="1"/>
  <c r="O21" i="1"/>
  <c r="M21" i="1"/>
  <c r="AK11" i="1"/>
  <c r="AP11" i="1" s="1"/>
  <c r="AQ11" i="1" s="1"/>
  <c r="Z32" i="1"/>
  <c r="Z63" i="1" s="1"/>
  <c r="Z80" i="1" s="1"/>
  <c r="Z97" i="1" s="1"/>
  <c r="Z114" i="1" s="1"/>
  <c r="Z131" i="1" s="1"/>
  <c r="Z148" i="1" s="1"/>
  <c r="Z165" i="1" s="1"/>
  <c r="Z182" i="1" s="1"/>
  <c r="Y32" i="1"/>
  <c r="Y63" i="1" s="1"/>
  <c r="Y80" i="1" s="1"/>
  <c r="Y97" i="1" s="1"/>
  <c r="Y114" i="1" s="1"/>
  <c r="Y131" i="1" s="1"/>
  <c r="Y148" i="1" s="1"/>
  <c r="Y165" i="1" s="1"/>
  <c r="Y182" i="1" s="1"/>
  <c r="X11" i="1"/>
  <c r="X32" i="1" s="1"/>
  <c r="X63" i="1" s="1"/>
  <c r="X80" i="1" s="1"/>
  <c r="X97" i="1" s="1"/>
  <c r="X114" i="1" s="1"/>
  <c r="X131" i="1" s="1"/>
  <c r="X148" i="1" s="1"/>
  <c r="X165" i="1" s="1"/>
  <c r="X182" i="1" s="1"/>
  <c r="W11" i="1"/>
  <c r="W32" i="1" s="1"/>
  <c r="W63" i="1" s="1"/>
  <c r="W80" i="1" s="1"/>
  <c r="W97" i="1" s="1"/>
  <c r="W114" i="1" s="1"/>
  <c r="W131" i="1" s="1"/>
  <c r="W148" i="1" s="1"/>
  <c r="W165" i="1" s="1"/>
  <c r="W182" i="1" s="1"/>
  <c r="V11" i="1"/>
  <c r="V32" i="1" s="1"/>
  <c r="V63" i="1" s="1"/>
  <c r="V80" i="1" s="1"/>
  <c r="V97" i="1" s="1"/>
  <c r="V114" i="1" s="1"/>
  <c r="V131" i="1" s="1"/>
  <c r="V148" i="1" s="1"/>
  <c r="V165" i="1" s="1"/>
  <c r="V182" i="1" s="1"/>
  <c r="U11" i="1"/>
  <c r="U32" i="1" s="1"/>
  <c r="U63" i="1" s="1"/>
  <c r="U80" i="1" s="1"/>
  <c r="U97" i="1" s="1"/>
  <c r="U114" i="1" s="1"/>
  <c r="U131" i="1" s="1"/>
  <c r="U148" i="1" s="1"/>
  <c r="U165" i="1" s="1"/>
  <c r="U182" i="1" s="1"/>
  <c r="T11" i="1"/>
  <c r="T32" i="1" s="1"/>
  <c r="T63" i="1" s="1"/>
  <c r="T80" i="1" s="1"/>
  <c r="T97" i="1" s="1"/>
  <c r="T114" i="1" s="1"/>
  <c r="T131" i="1" s="1"/>
  <c r="T148" i="1" s="1"/>
  <c r="T165" i="1" s="1"/>
  <c r="T182" i="1" s="1"/>
  <c r="S11" i="1"/>
  <c r="S32" i="1" s="1"/>
  <c r="S63" i="1" s="1"/>
  <c r="S80" i="1" s="1"/>
  <c r="S97" i="1" s="1"/>
  <c r="S114" i="1" s="1"/>
  <c r="S131" i="1" s="1"/>
  <c r="S148" i="1" s="1"/>
  <c r="S165" i="1" s="1"/>
  <c r="S182" i="1" s="1"/>
  <c r="O20" i="1"/>
  <c r="M20" i="1"/>
  <c r="AK10" i="1"/>
  <c r="L20" i="1" s="1"/>
  <c r="O19" i="1"/>
  <c r="M19" i="1"/>
  <c r="AK9" i="1"/>
  <c r="L19" i="1" s="1"/>
  <c r="X9" i="1"/>
  <c r="W9" i="1"/>
  <c r="Q9" i="1"/>
  <c r="O18" i="1"/>
  <c r="M18" i="1"/>
  <c r="AK8" i="1"/>
  <c r="O17" i="1"/>
  <c r="M17" i="1"/>
  <c r="CU7" i="1"/>
  <c r="AK7" i="1"/>
  <c r="O16" i="1"/>
  <c r="M16" i="1"/>
  <c r="L16" i="1"/>
  <c r="D7" i="1"/>
  <c r="CU6" i="1"/>
  <c r="AP6" i="1"/>
  <c r="AQ6" i="1" s="1"/>
  <c r="AR6" i="1" s="1"/>
  <c r="Z25" i="1"/>
  <c r="Z56" i="1" s="1"/>
  <c r="Z73" i="1" s="1"/>
  <c r="Z90" i="1" s="1"/>
  <c r="Z107" i="1" s="1"/>
  <c r="Z124" i="1" s="1"/>
  <c r="Z141" i="1" s="1"/>
  <c r="Z158" i="1" s="1"/>
  <c r="Z175" i="1" s="1"/>
  <c r="S4" i="1"/>
  <c r="Z24" i="1"/>
  <c r="Z55" i="1" s="1"/>
  <c r="BI76" i="1" l="1"/>
  <c r="BI110" i="1"/>
  <c r="L17" i="1"/>
  <c r="N20" i="1"/>
  <c r="N26" i="1"/>
  <c r="L18" i="1"/>
  <c r="BI93" i="1"/>
  <c r="D100" i="1"/>
  <c r="D70" i="1" s="1"/>
  <c r="J99" i="1"/>
  <c r="BU68" i="1"/>
  <c r="BW65" i="1"/>
  <c r="BW60" i="1"/>
  <c r="AD28" i="1"/>
  <c r="BU61" i="1"/>
  <c r="BW63" i="1"/>
  <c r="BW62" i="1"/>
  <c r="AF59" i="1"/>
  <c r="AF75" i="1"/>
  <c r="BW78" i="1" s="1"/>
  <c r="BU66" i="1"/>
  <c r="BU59" i="1"/>
  <c r="BU62" i="1"/>
  <c r="BV33" i="1"/>
  <c r="BW64" i="1"/>
  <c r="BW66" i="1"/>
  <c r="BW67" i="1"/>
  <c r="BW58" i="1"/>
  <c r="BW59" i="1"/>
  <c r="BU34" i="1"/>
  <c r="BU33" i="1"/>
  <c r="BU28" i="1"/>
  <c r="BH59" i="1"/>
  <c r="BI59" i="1"/>
  <c r="T25" i="1"/>
  <c r="T56" i="1" s="1"/>
  <c r="T73" i="1" s="1"/>
  <c r="T90" i="1" s="1"/>
  <c r="T107" i="1" s="1"/>
  <c r="T124" i="1" s="1"/>
  <c r="T141" i="1" s="1"/>
  <c r="T158" i="1" s="1"/>
  <c r="T175" i="1" s="1"/>
  <c r="BH7" i="1"/>
  <c r="BI7" i="1"/>
  <c r="BH28" i="1"/>
  <c r="BI28" i="1"/>
  <c r="BT61" i="1"/>
  <c r="BU65" i="1"/>
  <c r="BU67" i="1"/>
  <c r="BU58" i="1"/>
  <c r="BU60" i="1"/>
  <c r="AD59" i="1"/>
  <c r="BU63" i="1"/>
  <c r="BU36" i="1"/>
  <c r="BU35" i="1"/>
  <c r="BU31" i="1"/>
  <c r="BU32" i="1"/>
  <c r="BU27" i="1"/>
  <c r="BU30" i="1"/>
  <c r="BU29" i="1"/>
  <c r="AG3" i="1"/>
  <c r="AG12" i="1" s="1"/>
  <c r="V3" i="1"/>
  <c r="V24" i="1" s="1"/>
  <c r="AI160" i="1"/>
  <c r="BZ152" i="1"/>
  <c r="BZ150" i="1"/>
  <c r="BZ148" i="1"/>
  <c r="BZ146" i="1"/>
  <c r="BZ144" i="1"/>
  <c r="AI144" i="1"/>
  <c r="BZ151" i="1"/>
  <c r="BZ147" i="1"/>
  <c r="BZ143" i="1"/>
  <c r="BZ153" i="1"/>
  <c r="BZ149" i="1"/>
  <c r="BZ145" i="1"/>
  <c r="AI149" i="1"/>
  <c r="AI157" i="1"/>
  <c r="BI136" i="1"/>
  <c r="BI126" i="1"/>
  <c r="BI135" i="1"/>
  <c r="BI127" i="1"/>
  <c r="BT65" i="1"/>
  <c r="BT59" i="1"/>
  <c r="BT63" i="1"/>
  <c r="BT58" i="1"/>
  <c r="BT60" i="1"/>
  <c r="BT62" i="1"/>
  <c r="BT64" i="1"/>
  <c r="BT66" i="1"/>
  <c r="AC75" i="1"/>
  <c r="BT76" i="1" s="1"/>
  <c r="BR30" i="1"/>
  <c r="BV30" i="1"/>
  <c r="BV36" i="1"/>
  <c r="AH98" i="1"/>
  <c r="AH106" i="1"/>
  <c r="BH83" i="1"/>
  <c r="BH85" i="1"/>
  <c r="BH76" i="1"/>
  <c r="BH75" i="1"/>
  <c r="BH84" i="1"/>
  <c r="CP78" i="1"/>
  <c r="CP77" i="1"/>
  <c r="CP76" i="1"/>
  <c r="CP75" i="1"/>
  <c r="CP85" i="1"/>
  <c r="AH94" i="1"/>
  <c r="CP84" i="1"/>
  <c r="CP80" i="1"/>
  <c r="CP83" i="1"/>
  <c r="CP82" i="1"/>
  <c r="AH78" i="1"/>
  <c r="CP81" i="1"/>
  <c r="CP79" i="1"/>
  <c r="BT67" i="1"/>
  <c r="AC59" i="1"/>
  <c r="BX65" i="1"/>
  <c r="AG59" i="1"/>
  <c r="BX62" i="1"/>
  <c r="BX64" i="1"/>
  <c r="BX61" i="1"/>
  <c r="BX60" i="1"/>
  <c r="BX59" i="1"/>
  <c r="BX58" i="1"/>
  <c r="BX66" i="1"/>
  <c r="BX68" i="1"/>
  <c r="BX63" i="1"/>
  <c r="BX67" i="1"/>
  <c r="AG75" i="1"/>
  <c r="AG61" i="1"/>
  <c r="CO62" i="1"/>
  <c r="CO61" i="1"/>
  <c r="CO59" i="1"/>
  <c r="CO58" i="1"/>
  <c r="AG77" i="1"/>
  <c r="CO60" i="1"/>
  <c r="CO68" i="1"/>
  <c r="CO67" i="1"/>
  <c r="CO66" i="1"/>
  <c r="CO65" i="1"/>
  <c r="CO64" i="1"/>
  <c r="CO63" i="1"/>
  <c r="BV31" i="1"/>
  <c r="BV29" i="1"/>
  <c r="BR35" i="1"/>
  <c r="AE28" i="1"/>
  <c r="BR27" i="1"/>
  <c r="BV37" i="1"/>
  <c r="BV28" i="1"/>
  <c r="Z13" i="1"/>
  <c r="Z15" i="1" s="1"/>
  <c r="BV34" i="1"/>
  <c r="BV27" i="1"/>
  <c r="BV32" i="1"/>
  <c r="AE58" i="1"/>
  <c r="BV68" i="1" s="1"/>
  <c r="BR34" i="1"/>
  <c r="BR36" i="1"/>
  <c r="BR37" i="1"/>
  <c r="AA58" i="1"/>
  <c r="AA75" i="1" s="1"/>
  <c r="BR31" i="1"/>
  <c r="BR28" i="1"/>
  <c r="BR29" i="1"/>
  <c r="BR32" i="1"/>
  <c r="BR33" i="1"/>
  <c r="AF72" i="1"/>
  <c r="BW77" i="1"/>
  <c r="BW84" i="1"/>
  <c r="BW82" i="1"/>
  <c r="AE72" i="1"/>
  <c r="AD72" i="1"/>
  <c r="BU82" i="1"/>
  <c r="BU81" i="1"/>
  <c r="BU80" i="1"/>
  <c r="AD76" i="1"/>
  <c r="BU79" i="1"/>
  <c r="BU78" i="1"/>
  <c r="BU77" i="1"/>
  <c r="BU76" i="1"/>
  <c r="BU75" i="1"/>
  <c r="AD92" i="1"/>
  <c r="BU85" i="1"/>
  <c r="BU83" i="1"/>
  <c r="BU84" i="1"/>
  <c r="AC72" i="1"/>
  <c r="AB28" i="1"/>
  <c r="BS32" i="1"/>
  <c r="BS34" i="1"/>
  <c r="BS31" i="1"/>
  <c r="BS30" i="1"/>
  <c r="BS29" i="1"/>
  <c r="BS28" i="1"/>
  <c r="BS27" i="1"/>
  <c r="AB58" i="1"/>
  <c r="BS37" i="1"/>
  <c r="BS36" i="1"/>
  <c r="BS35" i="1"/>
  <c r="BS33" i="1"/>
  <c r="AB72" i="1"/>
  <c r="Z60" i="1"/>
  <c r="Z61" i="1" s="1"/>
  <c r="CH37" i="1"/>
  <c r="CH35" i="1"/>
  <c r="CH36" i="1"/>
  <c r="CH34" i="1"/>
  <c r="CH33" i="1"/>
  <c r="CH27" i="1"/>
  <c r="CH32" i="1"/>
  <c r="CH31" i="1"/>
  <c r="CH29" i="1"/>
  <c r="CH30" i="1"/>
  <c r="CH28" i="1"/>
  <c r="AA72" i="1"/>
  <c r="Z58" i="1"/>
  <c r="Z59" i="1" s="1"/>
  <c r="BQ31" i="1"/>
  <c r="BQ30" i="1"/>
  <c r="BQ29" i="1"/>
  <c r="BQ33" i="1"/>
  <c r="BQ28" i="1"/>
  <c r="BQ27" i="1"/>
  <c r="BQ32" i="1"/>
  <c r="BQ37" i="1"/>
  <c r="BQ36" i="1"/>
  <c r="BQ34" i="1"/>
  <c r="BQ35" i="1"/>
  <c r="V4" i="1"/>
  <c r="Y4" i="1"/>
  <c r="Y25" i="1" s="1"/>
  <c r="Y56" i="1" s="1"/>
  <c r="Y73" i="1" s="1"/>
  <c r="Y90" i="1" s="1"/>
  <c r="Y107" i="1" s="1"/>
  <c r="Y124" i="1" s="1"/>
  <c r="Y141" i="1" s="1"/>
  <c r="Y158" i="1" s="1"/>
  <c r="Y175" i="1" s="1"/>
  <c r="L21" i="1"/>
  <c r="Y60" i="1"/>
  <c r="Y61" i="1" s="1"/>
  <c r="CG36" i="1"/>
  <c r="CG35" i="1"/>
  <c r="CG34" i="1"/>
  <c r="CG33" i="1"/>
  <c r="CG32" i="1"/>
  <c r="CG31" i="1"/>
  <c r="CG30" i="1"/>
  <c r="CG29" i="1"/>
  <c r="CG37" i="1"/>
  <c r="CG28" i="1"/>
  <c r="CG27" i="1"/>
  <c r="V6" i="1"/>
  <c r="Y6" i="1"/>
  <c r="X3" i="1"/>
  <c r="X24" i="1" s="1"/>
  <c r="X55" i="1" s="1"/>
  <c r="Y3" i="1"/>
  <c r="Y24" i="1" s="1"/>
  <c r="BK14" i="1"/>
  <c r="U6" i="1"/>
  <c r="BL13" i="1" s="1"/>
  <c r="W6" i="1"/>
  <c r="W60" i="1"/>
  <c r="W77" i="1" s="1"/>
  <c r="CE36" i="1"/>
  <c r="CE35" i="1"/>
  <c r="CE33" i="1"/>
  <c r="CE32" i="1"/>
  <c r="CE31" i="1"/>
  <c r="CE30" i="1"/>
  <c r="CE29" i="1"/>
  <c r="CE28" i="1"/>
  <c r="CE37" i="1"/>
  <c r="CE27" i="1"/>
  <c r="CE34" i="1"/>
  <c r="X60" i="1"/>
  <c r="X77" i="1" s="1"/>
  <c r="CF32" i="1"/>
  <c r="CF31" i="1"/>
  <c r="CF29" i="1"/>
  <c r="CF28" i="1"/>
  <c r="CF27" i="1"/>
  <c r="CF37" i="1"/>
  <c r="CF33" i="1"/>
  <c r="CF30" i="1"/>
  <c r="CF36" i="1"/>
  <c r="CF35" i="1"/>
  <c r="CF34" i="1"/>
  <c r="S25" i="1"/>
  <c r="S56" i="1" s="1"/>
  <c r="S73" i="1" s="1"/>
  <c r="S90" i="1" s="1"/>
  <c r="S107" i="1" s="1"/>
  <c r="S124" i="1" s="1"/>
  <c r="S141" i="1" s="1"/>
  <c r="S158" i="1" s="1"/>
  <c r="S175" i="1" s="1"/>
  <c r="W4" i="1"/>
  <c r="W25" i="1" s="1"/>
  <c r="W56" i="1" s="1"/>
  <c r="W73" i="1" s="1"/>
  <c r="W90" i="1" s="1"/>
  <c r="W107" i="1" s="1"/>
  <c r="W124" i="1" s="1"/>
  <c r="W141" i="1" s="1"/>
  <c r="W158" i="1" s="1"/>
  <c r="W175" i="1" s="1"/>
  <c r="T29" i="1"/>
  <c r="CB37" i="1" s="1"/>
  <c r="V8" i="1"/>
  <c r="CD6" i="1" s="1"/>
  <c r="BJ6" i="1"/>
  <c r="CB6" i="1"/>
  <c r="T24" i="1"/>
  <c r="T55" i="1" s="1"/>
  <c r="U12" i="1"/>
  <c r="AU6" i="1" s="1"/>
  <c r="U24" i="1"/>
  <c r="U55" i="1" s="1"/>
  <c r="CB7" i="1"/>
  <c r="CB8" i="1"/>
  <c r="CB9" i="1"/>
  <c r="CB10" i="1"/>
  <c r="CB11" i="1"/>
  <c r="CB12" i="1"/>
  <c r="CB13" i="1"/>
  <c r="CB14" i="1"/>
  <c r="CB15" i="1"/>
  <c r="CB16" i="1"/>
  <c r="T9" i="1"/>
  <c r="BJ8" i="1"/>
  <c r="Q200" i="1"/>
  <c r="W30" i="1"/>
  <c r="AP10" i="1"/>
  <c r="AQ10" i="1" s="1"/>
  <c r="AP15" i="1"/>
  <c r="AQ15" i="1" s="1"/>
  <c r="T201" i="1"/>
  <c r="A195" i="1" s="1"/>
  <c r="T195" i="1"/>
  <c r="Q201" i="1"/>
  <c r="BK13" i="1"/>
  <c r="T202" i="1"/>
  <c r="Z30" i="1"/>
  <c r="T196" i="1"/>
  <c r="Q202" i="1"/>
  <c r="AP9" i="1"/>
  <c r="AQ9" i="1" s="1"/>
  <c r="L24" i="1"/>
  <c r="U196" i="1"/>
  <c r="T203" i="1"/>
  <c r="BK11" i="1"/>
  <c r="U197" i="1"/>
  <c r="Q203" i="1"/>
  <c r="T198" i="1"/>
  <c r="T204" i="1"/>
  <c r="L23" i="1"/>
  <c r="Z28" i="1"/>
  <c r="BK37" i="1"/>
  <c r="Q198" i="1"/>
  <c r="L22" i="1"/>
  <c r="T199" i="1"/>
  <c r="Q199" i="1"/>
  <c r="T200" i="1"/>
  <c r="BK12" i="1"/>
  <c r="BJ7" i="1"/>
  <c r="BK8" i="1"/>
  <c r="BK7" i="1"/>
  <c r="BJ10" i="1"/>
  <c r="N16" i="1"/>
  <c r="N21" i="1"/>
  <c r="BK10" i="1"/>
  <c r="BK6" i="1"/>
  <c r="BK9" i="1"/>
  <c r="T12" i="1"/>
  <c r="AT6" i="1" s="1"/>
  <c r="N17" i="1"/>
  <c r="W55" i="1"/>
  <c r="AR28" i="1"/>
  <c r="AP7" i="1"/>
  <c r="AQ7" i="1" s="1"/>
  <c r="AR7" i="1" s="1"/>
  <c r="AP8" i="1"/>
  <c r="AQ8" i="1" s="1"/>
  <c r="Z72" i="1"/>
  <c r="Z64" i="1"/>
  <c r="AZ59" i="1" s="1"/>
  <c r="T58" i="1"/>
  <c r="BK36" i="1"/>
  <c r="BK35" i="1"/>
  <c r="BK33" i="1"/>
  <c r="BK32" i="1"/>
  <c r="T28" i="1"/>
  <c r="BK30" i="1"/>
  <c r="BK28" i="1"/>
  <c r="BK27" i="1"/>
  <c r="T7" i="1"/>
  <c r="N25" i="1"/>
  <c r="BK16" i="1"/>
  <c r="BK34" i="1"/>
  <c r="BK31" i="1"/>
  <c r="BJ16" i="1"/>
  <c r="S27" i="1"/>
  <c r="S7" i="1"/>
  <c r="AZ6" i="1"/>
  <c r="BJ15" i="1"/>
  <c r="N24" i="1"/>
  <c r="BK15" i="1"/>
  <c r="Z33" i="1"/>
  <c r="N22" i="1"/>
  <c r="N23" i="1"/>
  <c r="AR93" i="1"/>
  <c r="BI94" i="1" s="1"/>
  <c r="N19" i="1"/>
  <c r="AR59" i="1"/>
  <c r="N18" i="1"/>
  <c r="BJ11" i="1"/>
  <c r="BJ12" i="1"/>
  <c r="BJ13" i="1"/>
  <c r="BJ14" i="1"/>
  <c r="X30" i="1"/>
  <c r="Y30" i="1"/>
  <c r="AR161" i="1"/>
  <c r="AR110" i="1"/>
  <c r="BI111" i="1" s="1"/>
  <c r="AO196" i="1"/>
  <c r="AN196" i="1"/>
  <c r="AR196" i="1" s="1"/>
  <c r="AO195" i="1"/>
  <c r="AN195" i="1"/>
  <c r="AR195" i="1" s="1"/>
  <c r="AS204" i="1"/>
  <c r="AS203" i="1"/>
  <c r="AS202" i="1"/>
  <c r="AS201" i="1"/>
  <c r="V197" i="1" s="1"/>
  <c r="AS200" i="1"/>
  <c r="AS199" i="1"/>
  <c r="AS198" i="1"/>
  <c r="AS197" i="1"/>
  <c r="AO204" i="1"/>
  <c r="AO203" i="1"/>
  <c r="AO202" i="1"/>
  <c r="AO201" i="1"/>
  <c r="AO200" i="1"/>
  <c r="AO199" i="1"/>
  <c r="AO198" i="1"/>
  <c r="AN204" i="1"/>
  <c r="AR204" i="1" s="1"/>
  <c r="AN203" i="1"/>
  <c r="AR203" i="1" s="1"/>
  <c r="AN202" i="1"/>
  <c r="AR202" i="1" s="1"/>
  <c r="AN201" i="1"/>
  <c r="AR201" i="1" s="1"/>
  <c r="AN200" i="1"/>
  <c r="AR200" i="1" s="1"/>
  <c r="AN199" i="1"/>
  <c r="AR199" i="1" s="1"/>
  <c r="AN198" i="1"/>
  <c r="AR198" i="1" s="1"/>
  <c r="AO197" i="1"/>
  <c r="AS196" i="1"/>
  <c r="AN197" i="1"/>
  <c r="AR197" i="1" s="1"/>
  <c r="AS195" i="1"/>
  <c r="AR127" i="1"/>
  <c r="BI128" i="1" s="1"/>
  <c r="AR76" i="1"/>
  <c r="AR178" i="1"/>
  <c r="AR144" i="1"/>
  <c r="U198" i="1"/>
  <c r="U199" i="1"/>
  <c r="U200" i="1"/>
  <c r="U201" i="1"/>
  <c r="U202" i="1"/>
  <c r="U203" i="1"/>
  <c r="U204" i="1"/>
  <c r="BJ195" i="1"/>
  <c r="BN195" i="1" s="1"/>
  <c r="BJ196" i="1"/>
  <c r="BN196" i="1" s="1"/>
  <c r="BK195" i="1"/>
  <c r="BK196" i="1"/>
  <c r="Q195" i="1"/>
  <c r="BO195" i="1"/>
  <c r="BO196" i="1"/>
  <c r="BJ197" i="1"/>
  <c r="BN197" i="1" s="1"/>
  <c r="BJ198" i="1"/>
  <c r="BN198" i="1" s="1"/>
  <c r="BJ199" i="1"/>
  <c r="BN199" i="1" s="1"/>
  <c r="BJ200" i="1"/>
  <c r="BN200" i="1" s="1"/>
  <c r="BJ201" i="1"/>
  <c r="BN201" i="1" s="1"/>
  <c r="AT195" i="1" s="1"/>
  <c r="BJ202" i="1"/>
  <c r="BN202" i="1" s="1"/>
  <c r="BJ203" i="1"/>
  <c r="BN203" i="1" s="1"/>
  <c r="BJ204" i="1"/>
  <c r="BN204" i="1" s="1"/>
  <c r="BK197" i="1"/>
  <c r="BK198" i="1"/>
  <c r="BK199" i="1"/>
  <c r="BK200" i="1"/>
  <c r="BK201" i="1"/>
  <c r="BK202" i="1"/>
  <c r="BK203" i="1"/>
  <c r="BK204" i="1"/>
  <c r="U195" i="1"/>
  <c r="Q196" i="1"/>
  <c r="T197" i="1"/>
  <c r="Q197" i="1"/>
  <c r="BO197" i="1"/>
  <c r="BO198" i="1"/>
  <c r="BO199" i="1"/>
  <c r="BO200" i="1"/>
  <c r="BO201" i="1"/>
  <c r="AT197" i="1" s="1"/>
  <c r="BO202" i="1"/>
  <c r="BO203" i="1"/>
  <c r="BR65" i="1" l="1"/>
  <c r="BR58" i="1"/>
  <c r="BR61" i="1"/>
  <c r="V195" i="1"/>
  <c r="A197" i="1"/>
  <c r="D101" i="1"/>
  <c r="D71" i="1" s="1"/>
  <c r="J100" i="1"/>
  <c r="AC92" i="1"/>
  <c r="BT96" i="1" s="1"/>
  <c r="BT77" i="1"/>
  <c r="BT84" i="1"/>
  <c r="BT79" i="1"/>
  <c r="BT82" i="1"/>
  <c r="BT75" i="1"/>
  <c r="BR67" i="1"/>
  <c r="AA59" i="1"/>
  <c r="BR62" i="1"/>
  <c r="AF76" i="1"/>
  <c r="BW83" i="1"/>
  <c r="BW75" i="1"/>
  <c r="BW79" i="1"/>
  <c r="O89" i="1"/>
  <c r="BW81" i="1"/>
  <c r="BW80" i="1"/>
  <c r="AF92" i="1"/>
  <c r="BW96" i="1" s="1"/>
  <c r="BW85" i="1"/>
  <c r="BW76" i="1"/>
  <c r="AG24" i="1"/>
  <c r="AG34" i="1" s="1"/>
  <c r="CO38" i="1" s="1"/>
  <c r="AG37" i="1" s="1"/>
  <c r="AG13" i="1"/>
  <c r="DJ6" i="1" s="1"/>
  <c r="BH29" i="1"/>
  <c r="BI29" i="1"/>
  <c r="O120" i="1"/>
  <c r="BH60" i="1"/>
  <c r="BI60" i="1"/>
  <c r="BH8" i="1"/>
  <c r="BI8" i="1"/>
  <c r="BH77" i="1"/>
  <c r="BI77" i="1"/>
  <c r="AI166" i="1"/>
  <c r="AI174" i="1"/>
  <c r="BI144" i="1"/>
  <c r="BI145" i="1"/>
  <c r="BI143" i="1"/>
  <c r="AI177" i="1"/>
  <c r="BZ170" i="1"/>
  <c r="BZ168" i="1"/>
  <c r="BZ166" i="1"/>
  <c r="BZ164" i="1"/>
  <c r="BZ162" i="1"/>
  <c r="BZ160" i="1"/>
  <c r="AI161" i="1"/>
  <c r="BZ169" i="1"/>
  <c r="BZ165" i="1"/>
  <c r="BZ161" i="1"/>
  <c r="BZ167" i="1"/>
  <c r="BZ163" i="1"/>
  <c r="BT78" i="1"/>
  <c r="AC76" i="1"/>
  <c r="BT80" i="1"/>
  <c r="BT81" i="1"/>
  <c r="BT83" i="1"/>
  <c r="BT85" i="1"/>
  <c r="BR64" i="1"/>
  <c r="BR66" i="1"/>
  <c r="BR68" i="1"/>
  <c r="BR59" i="1"/>
  <c r="BR60" i="1"/>
  <c r="BR63" i="1"/>
  <c r="CH17" i="1"/>
  <c r="Z16" i="1" s="1"/>
  <c r="AG36" i="1"/>
  <c r="BG7" i="1"/>
  <c r="BG8" i="1"/>
  <c r="BG6" i="1"/>
  <c r="CP96" i="1"/>
  <c r="CP95" i="1"/>
  <c r="AH111" i="1"/>
  <c r="CP94" i="1"/>
  <c r="CP93" i="1"/>
  <c r="CP92" i="1"/>
  <c r="AH95" i="1"/>
  <c r="CP98" i="1"/>
  <c r="CP102" i="1"/>
  <c r="CP101" i="1"/>
  <c r="CP100" i="1"/>
  <c r="CP99" i="1"/>
  <c r="CP97" i="1"/>
  <c r="AH123" i="1"/>
  <c r="AH115" i="1"/>
  <c r="BH101" i="1"/>
  <c r="BH100" i="1"/>
  <c r="BH94" i="1"/>
  <c r="BH93" i="1"/>
  <c r="BH92" i="1"/>
  <c r="BH102" i="1"/>
  <c r="BX84" i="1"/>
  <c r="BX83" i="1"/>
  <c r="BX82" i="1"/>
  <c r="BX79" i="1"/>
  <c r="BX78" i="1"/>
  <c r="BX77" i="1"/>
  <c r="BX81" i="1"/>
  <c r="BX80" i="1"/>
  <c r="AG92" i="1"/>
  <c r="BX76" i="1"/>
  <c r="BX75" i="1"/>
  <c r="AG76" i="1"/>
  <c r="BX85" i="1"/>
  <c r="CO80" i="1"/>
  <c r="CO79" i="1"/>
  <c r="CO77" i="1"/>
  <c r="CO76" i="1"/>
  <c r="AG94" i="1"/>
  <c r="CO75" i="1"/>
  <c r="CO83" i="1"/>
  <c r="CO78" i="1"/>
  <c r="CO85" i="1"/>
  <c r="AG78" i="1"/>
  <c r="CO84" i="1"/>
  <c r="CO82" i="1"/>
  <c r="CO81" i="1"/>
  <c r="BV58" i="1"/>
  <c r="BV60" i="1"/>
  <c r="BV59" i="1"/>
  <c r="BV61" i="1"/>
  <c r="BV64" i="1"/>
  <c r="BV65" i="1"/>
  <c r="BV66" i="1"/>
  <c r="AE75" i="1"/>
  <c r="BV78" i="1" s="1"/>
  <c r="BV62" i="1"/>
  <c r="BV63" i="1"/>
  <c r="AE59" i="1"/>
  <c r="BV67" i="1"/>
  <c r="BL12" i="1"/>
  <c r="AF89" i="1"/>
  <c r="T30" i="1"/>
  <c r="T34" i="1" s="1"/>
  <c r="CW27" i="1" s="1"/>
  <c r="T60" i="1"/>
  <c r="CB64" i="1" s="1"/>
  <c r="AE89" i="1"/>
  <c r="T33" i="1"/>
  <c r="AT27" i="1" s="1"/>
  <c r="BU100" i="1"/>
  <c r="BU99" i="1"/>
  <c r="BU98" i="1"/>
  <c r="BU97" i="1"/>
  <c r="AD109" i="1"/>
  <c r="BU96" i="1"/>
  <c r="BU95" i="1"/>
  <c r="BU94" i="1"/>
  <c r="AD93" i="1"/>
  <c r="BU93" i="1"/>
  <c r="BU92" i="1"/>
  <c r="BU101" i="1"/>
  <c r="BU102" i="1"/>
  <c r="AD89" i="1"/>
  <c r="CB36" i="1"/>
  <c r="CB33" i="1"/>
  <c r="AC89" i="1"/>
  <c r="U7" i="1"/>
  <c r="W33" i="1"/>
  <c r="AW29" i="1" s="1"/>
  <c r="AB75" i="1"/>
  <c r="BS64" i="1"/>
  <c r="BS63" i="1"/>
  <c r="BS62" i="1"/>
  <c r="BS61" i="1"/>
  <c r="BS66" i="1"/>
  <c r="BS60" i="1"/>
  <c r="BS59" i="1"/>
  <c r="BS58" i="1"/>
  <c r="BS68" i="1"/>
  <c r="BS67" i="1"/>
  <c r="BS65" i="1"/>
  <c r="AB59" i="1"/>
  <c r="BL16" i="1"/>
  <c r="W12" i="1"/>
  <c r="AW6" i="1" s="1"/>
  <c r="U27" i="1"/>
  <c r="U28" i="1" s="1"/>
  <c r="CB30" i="1"/>
  <c r="CB35" i="1"/>
  <c r="Y77" i="1"/>
  <c r="CG85" i="1" s="1"/>
  <c r="CB28" i="1"/>
  <c r="CB34" i="1"/>
  <c r="Z77" i="1"/>
  <c r="CH80" i="1" s="1"/>
  <c r="W61" i="1"/>
  <c r="AB89" i="1"/>
  <c r="CH58" i="1"/>
  <c r="CH68" i="1"/>
  <c r="CH67" i="1"/>
  <c r="CH66" i="1"/>
  <c r="CH65" i="1"/>
  <c r="CH64" i="1"/>
  <c r="CH61" i="1"/>
  <c r="CH59" i="1"/>
  <c r="CH63" i="1"/>
  <c r="CH62" i="1"/>
  <c r="CH60" i="1"/>
  <c r="BR81" i="1"/>
  <c r="BR80" i="1"/>
  <c r="BR79" i="1"/>
  <c r="BR78" i="1"/>
  <c r="BR77" i="1"/>
  <c r="BR76" i="1"/>
  <c r="BR75" i="1"/>
  <c r="AA76" i="1"/>
  <c r="BR82" i="1"/>
  <c r="AA92" i="1"/>
  <c r="BR85" i="1"/>
  <c r="BR84" i="1"/>
  <c r="BR83" i="1"/>
  <c r="AA89" i="1"/>
  <c r="Z34" i="1"/>
  <c r="DC28" i="1" s="1"/>
  <c r="Z75" i="1"/>
  <c r="BQ78" i="1" s="1"/>
  <c r="BQ63" i="1"/>
  <c r="BQ62" i="1"/>
  <c r="BQ61" i="1"/>
  <c r="BQ66" i="1"/>
  <c r="BQ60" i="1"/>
  <c r="BQ59" i="1"/>
  <c r="BQ65" i="1"/>
  <c r="BQ58" i="1"/>
  <c r="BQ68" i="1"/>
  <c r="BQ64" i="1"/>
  <c r="BQ67" i="1"/>
  <c r="Y12" i="1"/>
  <c r="AY8" i="1" s="1"/>
  <c r="BL10" i="1"/>
  <c r="BP16" i="1"/>
  <c r="BP6" i="1"/>
  <c r="BP15" i="1"/>
  <c r="BP14" i="1"/>
  <c r="BP9" i="1"/>
  <c r="BP13" i="1"/>
  <c r="BP12" i="1"/>
  <c r="Y7" i="1"/>
  <c r="Y13" i="1" s="1"/>
  <c r="BP11" i="1"/>
  <c r="BP10" i="1"/>
  <c r="BP7" i="1"/>
  <c r="BP8" i="1"/>
  <c r="Y27" i="1"/>
  <c r="BL15" i="1"/>
  <c r="X6" i="1"/>
  <c r="BM14" i="1"/>
  <c r="BM6" i="1"/>
  <c r="BM16" i="1"/>
  <c r="BM13" i="1"/>
  <c r="BM11" i="1"/>
  <c r="BM15" i="1"/>
  <c r="BM9" i="1"/>
  <c r="BM8" i="1"/>
  <c r="V7" i="1"/>
  <c r="V27" i="1"/>
  <c r="BM10" i="1"/>
  <c r="BM7" i="1"/>
  <c r="BM12" i="1"/>
  <c r="CG67" i="1"/>
  <c r="CG66" i="1"/>
  <c r="CG65" i="1"/>
  <c r="CG64" i="1"/>
  <c r="CG68" i="1"/>
  <c r="CG63" i="1"/>
  <c r="CG62" i="1"/>
  <c r="CG61" i="1"/>
  <c r="CG60" i="1"/>
  <c r="CG59" i="1"/>
  <c r="CG58" i="1"/>
  <c r="BL6" i="1"/>
  <c r="BL8" i="1"/>
  <c r="BL11" i="1"/>
  <c r="BL14" i="1"/>
  <c r="BL9" i="1"/>
  <c r="BL7" i="1"/>
  <c r="BN12" i="1"/>
  <c r="BN6" i="1"/>
  <c r="BN10" i="1"/>
  <c r="BN15" i="1"/>
  <c r="BN9" i="1"/>
  <c r="BN8" i="1"/>
  <c r="BN7" i="1"/>
  <c r="W7" i="1"/>
  <c r="W13" i="1" s="1"/>
  <c r="CZ7" i="1" s="1"/>
  <c r="BN13" i="1"/>
  <c r="BN11" i="1"/>
  <c r="BN16" i="1"/>
  <c r="W27" i="1"/>
  <c r="BN14" i="1"/>
  <c r="X4" i="1"/>
  <c r="V25" i="1"/>
  <c r="V56" i="1" s="1"/>
  <c r="V73" i="1" s="1"/>
  <c r="V90" i="1" s="1"/>
  <c r="V107" i="1" s="1"/>
  <c r="V124" i="1" s="1"/>
  <c r="V141" i="1" s="1"/>
  <c r="V158" i="1" s="1"/>
  <c r="V175" i="1" s="1"/>
  <c r="CE83" i="1"/>
  <c r="CE82" i="1"/>
  <c r="CE81" i="1"/>
  <c r="CE80" i="1"/>
  <c r="CE79" i="1"/>
  <c r="CE78" i="1"/>
  <c r="CE84" i="1"/>
  <c r="CE77" i="1"/>
  <c r="CE75" i="1"/>
  <c r="CE85" i="1"/>
  <c r="CE76" i="1"/>
  <c r="CF80" i="1"/>
  <c r="CF77" i="1"/>
  <c r="CF76" i="1"/>
  <c r="CF75" i="1"/>
  <c r="CF85" i="1"/>
  <c r="CF84" i="1"/>
  <c r="CF81" i="1"/>
  <c r="CF79" i="1"/>
  <c r="CF78" i="1"/>
  <c r="CF83" i="1"/>
  <c r="CF82" i="1"/>
  <c r="X61" i="1"/>
  <c r="CF63" i="1"/>
  <c r="CF60" i="1"/>
  <c r="CF59" i="1"/>
  <c r="CF58" i="1"/>
  <c r="CF68" i="1"/>
  <c r="CF62" i="1"/>
  <c r="CF67" i="1"/>
  <c r="CF66" i="1"/>
  <c r="CF64" i="1"/>
  <c r="CF65" i="1"/>
  <c r="CF61" i="1"/>
  <c r="CE68" i="1"/>
  <c r="CE66" i="1"/>
  <c r="CE65" i="1"/>
  <c r="CE64" i="1"/>
  <c r="CE63" i="1"/>
  <c r="CE62" i="1"/>
  <c r="CE61" i="1"/>
  <c r="CE67" i="1"/>
  <c r="CE60" i="1"/>
  <c r="CE59" i="1"/>
  <c r="CE58" i="1"/>
  <c r="T13" i="1"/>
  <c r="CD14" i="1"/>
  <c r="CD12" i="1"/>
  <c r="CD16" i="1"/>
  <c r="CD13" i="1"/>
  <c r="CD7" i="1"/>
  <c r="CD11" i="1"/>
  <c r="CD15" i="1"/>
  <c r="CD10" i="1"/>
  <c r="CD8" i="1"/>
  <c r="CD9" i="1"/>
  <c r="V9" i="1"/>
  <c r="V29" i="1"/>
  <c r="CB27" i="1"/>
  <c r="CB32" i="1"/>
  <c r="CB29" i="1"/>
  <c r="CB31" i="1"/>
  <c r="U33" i="1"/>
  <c r="AU29" i="1" s="1"/>
  <c r="V55" i="1"/>
  <c r="V72" i="1" s="1"/>
  <c r="V12" i="1"/>
  <c r="AV6" i="1" s="1"/>
  <c r="AU7" i="1"/>
  <c r="Z65" i="1"/>
  <c r="DC58" i="1" s="1"/>
  <c r="AT7" i="1"/>
  <c r="AU8" i="1"/>
  <c r="AT8" i="1"/>
  <c r="AR8" i="1"/>
  <c r="AZ8" i="1"/>
  <c r="AR94" i="1"/>
  <c r="BI95" i="1" s="1"/>
  <c r="AZ7" i="1"/>
  <c r="AR162" i="1"/>
  <c r="BJ37" i="1"/>
  <c r="BJ35" i="1"/>
  <c r="S58" i="1"/>
  <c r="BJ36" i="1"/>
  <c r="BJ29" i="1"/>
  <c r="BJ33" i="1"/>
  <c r="BJ32" i="1"/>
  <c r="BJ34" i="1"/>
  <c r="BJ31" i="1"/>
  <c r="S28" i="1"/>
  <c r="BJ27" i="1"/>
  <c r="BJ30" i="1"/>
  <c r="BJ28" i="1"/>
  <c r="DC6" i="1"/>
  <c r="DC7" i="1"/>
  <c r="AR29" i="1"/>
  <c r="AZ29" i="1"/>
  <c r="AZ60" i="1"/>
  <c r="AR60" i="1"/>
  <c r="Z89" i="1"/>
  <c r="Z81" i="1"/>
  <c r="AZ77" i="1" s="1"/>
  <c r="W72" i="1"/>
  <c r="W64" i="1"/>
  <c r="AW60" i="1" s="1"/>
  <c r="X72" i="1"/>
  <c r="T64" i="1"/>
  <c r="AT60" i="1" s="1"/>
  <c r="T72" i="1"/>
  <c r="AR145" i="1"/>
  <c r="BI146" i="1" s="1"/>
  <c r="AZ37" i="1"/>
  <c r="AZ27" i="1"/>
  <c r="AZ36" i="1"/>
  <c r="Y55" i="1"/>
  <c r="Y33" i="1"/>
  <c r="AY29" i="1" s="1"/>
  <c r="AR111" i="1"/>
  <c r="BI112" i="1" s="1"/>
  <c r="AR179" i="1"/>
  <c r="AR128" i="1"/>
  <c r="BI129" i="1" s="1"/>
  <c r="W94" i="1"/>
  <c r="W78" i="1"/>
  <c r="T59" i="1"/>
  <c r="BK64" i="1"/>
  <c r="T75" i="1"/>
  <c r="BK59" i="1"/>
  <c r="BK63" i="1"/>
  <c r="BK58" i="1"/>
  <c r="BK62" i="1"/>
  <c r="BK67" i="1"/>
  <c r="BK61" i="1"/>
  <c r="BK65" i="1"/>
  <c r="BK60" i="1"/>
  <c r="BK68" i="1"/>
  <c r="BK66" i="1"/>
  <c r="U72" i="1"/>
  <c r="U64" i="1"/>
  <c r="AU60" i="1" s="1"/>
  <c r="X78" i="1"/>
  <c r="X94" i="1"/>
  <c r="AR77" i="1"/>
  <c r="BI78" i="1" s="1"/>
  <c r="AZ58" i="1"/>
  <c r="AZ68" i="1"/>
  <c r="AZ28" i="1"/>
  <c r="BT93" i="1" l="1"/>
  <c r="BT99" i="1"/>
  <c r="BW97" i="1"/>
  <c r="BW102" i="1"/>
  <c r="BT102" i="1"/>
  <c r="BT95" i="1"/>
  <c r="AC93" i="1"/>
  <c r="AC109" i="1"/>
  <c r="AC126" i="1" s="1"/>
  <c r="BT94" i="1"/>
  <c r="BW92" i="1"/>
  <c r="BT97" i="1"/>
  <c r="BT100" i="1"/>
  <c r="BT92" i="1"/>
  <c r="BW99" i="1"/>
  <c r="AF109" i="1"/>
  <c r="BW115" i="1" s="1"/>
  <c r="DJ7" i="1"/>
  <c r="AG15" i="1"/>
  <c r="BT98" i="1"/>
  <c r="BT101" i="1"/>
  <c r="BW100" i="1"/>
  <c r="BW95" i="1"/>
  <c r="D102" i="1"/>
  <c r="D72" i="1" s="1"/>
  <c r="J101" i="1"/>
  <c r="AG55" i="1"/>
  <c r="AG65" i="1" s="1"/>
  <c r="AG67" i="1" s="1"/>
  <c r="DJ28" i="1"/>
  <c r="BW98" i="1"/>
  <c r="BW101" i="1"/>
  <c r="AF93" i="1"/>
  <c r="BW93" i="1"/>
  <c r="BW94" i="1"/>
  <c r="AG33" i="1"/>
  <c r="BG27" i="1" s="1"/>
  <c r="DJ27" i="1"/>
  <c r="BV81" i="1"/>
  <c r="CO17" i="1"/>
  <c r="AG16" i="1" s="1"/>
  <c r="BH30" i="1"/>
  <c r="BI30" i="1"/>
  <c r="BH9" i="1"/>
  <c r="BI9" i="1"/>
  <c r="BH61" i="1"/>
  <c r="BI61" i="1"/>
  <c r="BZ186" i="1"/>
  <c r="BZ184" i="1"/>
  <c r="BZ182" i="1"/>
  <c r="BZ180" i="1"/>
  <c r="BZ178" i="1"/>
  <c r="AI178" i="1"/>
  <c r="BZ187" i="1"/>
  <c r="BZ183" i="1"/>
  <c r="BZ179" i="1"/>
  <c r="BZ185" i="1"/>
  <c r="BZ181" i="1"/>
  <c r="BZ177" i="1"/>
  <c r="AI183" i="1"/>
  <c r="BI170" i="1"/>
  <c r="BI162" i="1"/>
  <c r="BI160" i="1"/>
  <c r="BI163" i="1"/>
  <c r="BI169" i="1"/>
  <c r="BI161" i="1"/>
  <c r="BV80" i="1"/>
  <c r="BV83" i="1"/>
  <c r="AE76" i="1"/>
  <c r="BV82" i="1"/>
  <c r="BV84" i="1"/>
  <c r="Y15" i="1"/>
  <c r="BH78" i="1"/>
  <c r="BH95" i="1"/>
  <c r="AT28" i="1"/>
  <c r="BL31" i="1"/>
  <c r="BG9" i="1"/>
  <c r="CP114" i="1"/>
  <c r="AH128" i="1"/>
  <c r="AH112" i="1"/>
  <c r="CP113" i="1"/>
  <c r="CP112" i="1"/>
  <c r="CP111" i="1"/>
  <c r="CP110" i="1"/>
  <c r="CP109" i="1"/>
  <c r="CP119" i="1"/>
  <c r="CP116" i="1"/>
  <c r="CP118" i="1"/>
  <c r="CP117" i="1"/>
  <c r="CP115" i="1"/>
  <c r="BH119" i="1"/>
  <c r="BH118" i="1"/>
  <c r="BH117" i="1"/>
  <c r="BH112" i="1"/>
  <c r="BH111" i="1"/>
  <c r="BH110" i="1"/>
  <c r="BH109" i="1"/>
  <c r="AH132" i="1"/>
  <c r="AH140" i="1"/>
  <c r="CB61" i="1"/>
  <c r="CB58" i="1"/>
  <c r="CB59" i="1"/>
  <c r="CB60" i="1"/>
  <c r="CB62" i="1"/>
  <c r="CB63" i="1"/>
  <c r="CB65" i="1"/>
  <c r="CB66" i="1"/>
  <c r="T77" i="1"/>
  <c r="CB84" i="1" s="1"/>
  <c r="CB67" i="1"/>
  <c r="T61" i="1"/>
  <c r="T65" i="1" s="1"/>
  <c r="CB68" i="1"/>
  <c r="CO98" i="1"/>
  <c r="AG111" i="1"/>
  <c r="CO97" i="1"/>
  <c r="CO96" i="1"/>
  <c r="CO95" i="1"/>
  <c r="AG95" i="1"/>
  <c r="CO94" i="1"/>
  <c r="CO93" i="1"/>
  <c r="CO92" i="1"/>
  <c r="CO101" i="1"/>
  <c r="CO102" i="1"/>
  <c r="CO100" i="1"/>
  <c r="CO99" i="1"/>
  <c r="BX98" i="1"/>
  <c r="BX101" i="1"/>
  <c r="BX99" i="1"/>
  <c r="BX100" i="1"/>
  <c r="AG109" i="1"/>
  <c r="BX97" i="1"/>
  <c r="BX96" i="1"/>
  <c r="AG93" i="1"/>
  <c r="BX95" i="1"/>
  <c r="BX94" i="1"/>
  <c r="BX92" i="1"/>
  <c r="BX93" i="1"/>
  <c r="BX102" i="1"/>
  <c r="BV79" i="1"/>
  <c r="BV75" i="1"/>
  <c r="BV85" i="1"/>
  <c r="BV76" i="1"/>
  <c r="BV77" i="1"/>
  <c r="AE92" i="1"/>
  <c r="BV101" i="1" s="1"/>
  <c r="BQ81" i="1"/>
  <c r="BL36" i="1"/>
  <c r="DC27" i="1"/>
  <c r="CB17" i="1"/>
  <c r="T16" i="1" s="1"/>
  <c r="CG77" i="1"/>
  <c r="CG78" i="1"/>
  <c r="Y94" i="1"/>
  <c r="CG102" i="1" s="1"/>
  <c r="Y78" i="1"/>
  <c r="CG75" i="1"/>
  <c r="CG79" i="1"/>
  <c r="AW28" i="1"/>
  <c r="AW36" i="1"/>
  <c r="AW27" i="1"/>
  <c r="AW37" i="1"/>
  <c r="AF106" i="1"/>
  <c r="AF126" i="1"/>
  <c r="BL37" i="1"/>
  <c r="BL28" i="1"/>
  <c r="U58" i="1"/>
  <c r="BL66" i="1" s="1"/>
  <c r="BL34" i="1"/>
  <c r="AT29" i="1"/>
  <c r="BL35" i="1"/>
  <c r="BL33" i="1"/>
  <c r="BL32" i="1"/>
  <c r="BL29" i="1"/>
  <c r="BL30" i="1"/>
  <c r="BL27" i="1"/>
  <c r="AE106" i="1"/>
  <c r="V13" i="1"/>
  <c r="CY7" i="1" s="1"/>
  <c r="AD126" i="1"/>
  <c r="BU118" i="1"/>
  <c r="BU117" i="1"/>
  <c r="BU116" i="1"/>
  <c r="AD110" i="1"/>
  <c r="BU115" i="1"/>
  <c r="BU114" i="1"/>
  <c r="BU113" i="1"/>
  <c r="BU112" i="1"/>
  <c r="BU119" i="1"/>
  <c r="BU111" i="1"/>
  <c r="BU110" i="1"/>
  <c r="BU109" i="1"/>
  <c r="AD106" i="1"/>
  <c r="BQ76" i="1"/>
  <c r="BQ80" i="1"/>
  <c r="AY7" i="1"/>
  <c r="AW7" i="1"/>
  <c r="Z92" i="1"/>
  <c r="BQ99" i="1" s="1"/>
  <c r="AW8" i="1"/>
  <c r="CG76" i="1"/>
  <c r="AC106" i="1"/>
  <c r="CG80" i="1"/>
  <c r="CH81" i="1"/>
  <c r="CG81" i="1"/>
  <c r="CH82" i="1"/>
  <c r="Z94" i="1"/>
  <c r="CH99" i="1" s="1"/>
  <c r="CG82" i="1"/>
  <c r="CH83" i="1"/>
  <c r="Z78" i="1"/>
  <c r="CG83" i="1"/>
  <c r="BS85" i="1"/>
  <c r="BS76" i="1"/>
  <c r="AB92" i="1"/>
  <c r="BS77" i="1"/>
  <c r="BS78" i="1"/>
  <c r="BS79" i="1"/>
  <c r="BS80" i="1"/>
  <c r="BS81" i="1"/>
  <c r="BS82" i="1"/>
  <c r="AB76" i="1"/>
  <c r="BS83" i="1"/>
  <c r="BS84" i="1"/>
  <c r="BS75" i="1"/>
  <c r="CG84" i="1"/>
  <c r="CZ6" i="1"/>
  <c r="DC59" i="1"/>
  <c r="CH79" i="1"/>
  <c r="CH84" i="1"/>
  <c r="CH75" i="1"/>
  <c r="CH85" i="1"/>
  <c r="CH76" i="1"/>
  <c r="CH78" i="1"/>
  <c r="CH77" i="1"/>
  <c r="BL64" i="1"/>
  <c r="W15" i="1"/>
  <c r="AB106" i="1"/>
  <c r="BQ79" i="1"/>
  <c r="BQ84" i="1"/>
  <c r="AY6" i="1"/>
  <c r="CH38" i="1"/>
  <c r="Z37" i="1" s="1"/>
  <c r="Z36" i="1"/>
  <c r="BQ82" i="1"/>
  <c r="BQ85" i="1"/>
  <c r="Z76" i="1"/>
  <c r="CH69" i="1"/>
  <c r="Z68" i="1" s="1"/>
  <c r="Z67" i="1"/>
  <c r="BQ75" i="1"/>
  <c r="BQ77" i="1"/>
  <c r="BQ83" i="1"/>
  <c r="AA106" i="1"/>
  <c r="BR98" i="1"/>
  <c r="BR97" i="1"/>
  <c r="BR96" i="1"/>
  <c r="BR95" i="1"/>
  <c r="AA109" i="1"/>
  <c r="BR94" i="1"/>
  <c r="BR93" i="1"/>
  <c r="BR99" i="1"/>
  <c r="AA93" i="1"/>
  <c r="BR92" i="1"/>
  <c r="BR102" i="1"/>
  <c r="BR101" i="1"/>
  <c r="BR100" i="1"/>
  <c r="CG17" i="1"/>
  <c r="Y16" i="1" s="1"/>
  <c r="DB7" i="1"/>
  <c r="DB6" i="1"/>
  <c r="CE17" i="1"/>
  <c r="W16" i="1" s="1"/>
  <c r="BO15" i="1"/>
  <c r="BO8" i="1"/>
  <c r="BO11" i="1"/>
  <c r="BO10" i="1"/>
  <c r="BO14" i="1"/>
  <c r="X7" i="1"/>
  <c r="X13" i="1" s="1"/>
  <c r="BO16" i="1"/>
  <c r="BO13" i="1"/>
  <c r="BO7" i="1"/>
  <c r="X27" i="1"/>
  <c r="BO12" i="1"/>
  <c r="BO6" i="1"/>
  <c r="BO9" i="1"/>
  <c r="X25" i="1"/>
  <c r="X12" i="1"/>
  <c r="BM33" i="1"/>
  <c r="V58" i="1"/>
  <c r="BM32" i="1"/>
  <c r="BM36" i="1"/>
  <c r="V28" i="1"/>
  <c r="BM34" i="1"/>
  <c r="BM31" i="1"/>
  <c r="BM37" i="1"/>
  <c r="BM29" i="1"/>
  <c r="BM30" i="1"/>
  <c r="BM28" i="1"/>
  <c r="BM27" i="1"/>
  <c r="BM35" i="1"/>
  <c r="BP37" i="1"/>
  <c r="BP36" i="1"/>
  <c r="BP35" i="1"/>
  <c r="BP34" i="1"/>
  <c r="BP33" i="1"/>
  <c r="BP32" i="1"/>
  <c r="BP27" i="1"/>
  <c r="BP31" i="1"/>
  <c r="BP28" i="1"/>
  <c r="BP30" i="1"/>
  <c r="BP29" i="1"/>
  <c r="Y58" i="1"/>
  <c r="Y28" i="1"/>
  <c r="Y34" i="1" s="1"/>
  <c r="BN34" i="1"/>
  <c r="BN27" i="1"/>
  <c r="W58" i="1"/>
  <c r="BN28" i="1"/>
  <c r="BN33" i="1"/>
  <c r="W28" i="1"/>
  <c r="W34" i="1" s="1"/>
  <c r="CZ27" i="1" s="1"/>
  <c r="BN30" i="1"/>
  <c r="BN36" i="1"/>
  <c r="BN32" i="1"/>
  <c r="BN37" i="1"/>
  <c r="BN35" i="1"/>
  <c r="BN29" i="1"/>
  <c r="BN31" i="1"/>
  <c r="V33" i="1"/>
  <c r="AV30" i="1" s="1"/>
  <c r="CW6" i="1"/>
  <c r="CW7" i="1"/>
  <c r="T15" i="1"/>
  <c r="CF97" i="1"/>
  <c r="CF96" i="1"/>
  <c r="CF94" i="1"/>
  <c r="CF93" i="1"/>
  <c r="CF92" i="1"/>
  <c r="CF102" i="1"/>
  <c r="CF101" i="1"/>
  <c r="CF100" i="1"/>
  <c r="CF95" i="1"/>
  <c r="CF99" i="1"/>
  <c r="CF98" i="1"/>
  <c r="CE92" i="1"/>
  <c r="CE101" i="1"/>
  <c r="CE100" i="1"/>
  <c r="CE99" i="1"/>
  <c r="CE98" i="1"/>
  <c r="CE97" i="1"/>
  <c r="CE93" i="1"/>
  <c r="CE96" i="1"/>
  <c r="CE95" i="1"/>
  <c r="CE94" i="1"/>
  <c r="CE102" i="1"/>
  <c r="AU28" i="1"/>
  <c r="AU27" i="1"/>
  <c r="AU37" i="1"/>
  <c r="AU36" i="1"/>
  <c r="V64" i="1"/>
  <c r="AV60" i="1" s="1"/>
  <c r="V60" i="1"/>
  <c r="CD36" i="1"/>
  <c r="CD28" i="1"/>
  <c r="CD35" i="1"/>
  <c r="CD34" i="1"/>
  <c r="CD33" i="1"/>
  <c r="CD29" i="1"/>
  <c r="CD32" i="1"/>
  <c r="CD27" i="1"/>
  <c r="CD31" i="1"/>
  <c r="CD30" i="1"/>
  <c r="CD37" i="1"/>
  <c r="V30" i="1"/>
  <c r="AV8" i="1"/>
  <c r="AV7" i="1"/>
  <c r="CB85" i="1"/>
  <c r="T36" i="1"/>
  <c r="CB38" i="1"/>
  <c r="T37" i="1" s="1"/>
  <c r="CW28" i="1"/>
  <c r="AZ78" i="1"/>
  <c r="AR78" i="1"/>
  <c r="BI79" i="1" s="1"/>
  <c r="AR146" i="1"/>
  <c r="BI147" i="1" s="1"/>
  <c r="S59" i="1"/>
  <c r="BJ64" i="1"/>
  <c r="S75" i="1"/>
  <c r="BJ59" i="1"/>
  <c r="BJ63" i="1"/>
  <c r="BJ58" i="1"/>
  <c r="BJ68" i="1"/>
  <c r="BJ66" i="1"/>
  <c r="BJ61" i="1"/>
  <c r="BJ67" i="1"/>
  <c r="BJ60" i="1"/>
  <c r="BJ65" i="1"/>
  <c r="BJ62" i="1"/>
  <c r="V81" i="1"/>
  <c r="V89" i="1"/>
  <c r="T81" i="1"/>
  <c r="AT78" i="1" s="1"/>
  <c r="T89" i="1"/>
  <c r="AR112" i="1"/>
  <c r="BI113" i="1" s="1"/>
  <c r="AT58" i="1"/>
  <c r="AT59" i="1"/>
  <c r="AR163" i="1"/>
  <c r="BI164" i="1" s="1"/>
  <c r="AW61" i="1"/>
  <c r="AU61" i="1"/>
  <c r="AT61" i="1"/>
  <c r="AZ61" i="1"/>
  <c r="AR61" i="1"/>
  <c r="X111" i="1"/>
  <c r="X95" i="1"/>
  <c r="AW68" i="1"/>
  <c r="AW58" i="1"/>
  <c r="AW59" i="1"/>
  <c r="W111" i="1"/>
  <c r="W95" i="1"/>
  <c r="W89" i="1"/>
  <c r="W81" i="1"/>
  <c r="AZ30" i="1"/>
  <c r="AW30" i="1"/>
  <c r="AU30" i="1"/>
  <c r="AT30" i="1"/>
  <c r="AY30" i="1"/>
  <c r="AR30" i="1"/>
  <c r="AU58" i="1"/>
  <c r="AU68" i="1"/>
  <c r="AU59" i="1"/>
  <c r="AY37" i="1"/>
  <c r="AY36" i="1"/>
  <c r="AY27" i="1"/>
  <c r="AY28" i="1"/>
  <c r="AZ85" i="1"/>
  <c r="AZ83" i="1"/>
  <c r="AZ84" i="1"/>
  <c r="AZ75" i="1"/>
  <c r="AZ76" i="1"/>
  <c r="AR129" i="1"/>
  <c r="BI130" i="1" s="1"/>
  <c r="U81" i="1"/>
  <c r="AU78" i="1" s="1"/>
  <c r="U89" i="1"/>
  <c r="BK83" i="1"/>
  <c r="BK82" i="1"/>
  <c r="BK84" i="1"/>
  <c r="T92" i="1"/>
  <c r="BK77" i="1"/>
  <c r="BK85" i="1"/>
  <c r="T76" i="1"/>
  <c r="BK79" i="1"/>
  <c r="BK81" i="1"/>
  <c r="BK76" i="1"/>
  <c r="BK75" i="1"/>
  <c r="BK78" i="1"/>
  <c r="BK80" i="1"/>
  <c r="AR180" i="1"/>
  <c r="AZ9" i="1"/>
  <c r="AY9" i="1"/>
  <c r="AW9" i="1"/>
  <c r="AV9" i="1"/>
  <c r="AR9" i="1"/>
  <c r="BI10" i="1" s="1"/>
  <c r="AU9" i="1"/>
  <c r="AT9" i="1"/>
  <c r="Y72" i="1"/>
  <c r="Y64" i="1"/>
  <c r="AY61" i="1" s="1"/>
  <c r="X89" i="1"/>
  <c r="Z106" i="1"/>
  <c r="Z98" i="1"/>
  <c r="AR95" i="1"/>
  <c r="BI96" i="1" s="1"/>
  <c r="BW109" i="1" l="1"/>
  <c r="BW111" i="1"/>
  <c r="BW116" i="1"/>
  <c r="BW113" i="1"/>
  <c r="BT118" i="1"/>
  <c r="BW117" i="1"/>
  <c r="BW110" i="1"/>
  <c r="BW118" i="1"/>
  <c r="BW112" i="1"/>
  <c r="BW114" i="1"/>
  <c r="BT119" i="1"/>
  <c r="BW119" i="1"/>
  <c r="AF110" i="1"/>
  <c r="BT115" i="1"/>
  <c r="BT110" i="1"/>
  <c r="CO69" i="1"/>
  <c r="AG68" i="1" s="1"/>
  <c r="AG72" i="1"/>
  <c r="AG81" i="1" s="1"/>
  <c r="BT116" i="1"/>
  <c r="BT111" i="1"/>
  <c r="DJ58" i="1"/>
  <c r="BT114" i="1"/>
  <c r="BT109" i="1"/>
  <c r="BT112" i="1"/>
  <c r="BT113" i="1"/>
  <c r="BT117" i="1"/>
  <c r="AC110" i="1"/>
  <c r="CB76" i="1"/>
  <c r="BG37" i="1"/>
  <c r="D103" i="1"/>
  <c r="D73" i="1" s="1"/>
  <c r="J102" i="1"/>
  <c r="BG29" i="1"/>
  <c r="BG28" i="1"/>
  <c r="DJ59" i="1"/>
  <c r="AG64" i="1"/>
  <c r="BG68" i="1" s="1"/>
  <c r="BL59" i="1"/>
  <c r="BL62" i="1"/>
  <c r="BG36" i="1"/>
  <c r="BG30" i="1"/>
  <c r="CG99" i="1"/>
  <c r="BV102" i="1"/>
  <c r="BH31" i="1"/>
  <c r="BI31" i="1"/>
  <c r="BH62" i="1"/>
  <c r="BI62" i="1"/>
  <c r="BV94" i="1"/>
  <c r="CG96" i="1"/>
  <c r="BI186" i="1"/>
  <c r="BI180" i="1"/>
  <c r="BI178" i="1"/>
  <c r="BI185" i="1"/>
  <c r="BI181" i="1"/>
  <c r="BI177" i="1"/>
  <c r="BI187" i="1"/>
  <c r="BI179" i="1"/>
  <c r="CB81" i="1"/>
  <c r="T78" i="1"/>
  <c r="T82" i="1" s="1"/>
  <c r="CB78" i="1"/>
  <c r="CB79" i="1"/>
  <c r="CB83" i="1"/>
  <c r="AX9" i="1"/>
  <c r="T94" i="1"/>
  <c r="CB101" i="1" s="1"/>
  <c r="CB75" i="1"/>
  <c r="CB77" i="1"/>
  <c r="CB80" i="1"/>
  <c r="CB82" i="1"/>
  <c r="Y111" i="1"/>
  <c r="CG109" i="1" s="1"/>
  <c r="CG94" i="1"/>
  <c r="CG98" i="1"/>
  <c r="CG101" i="1"/>
  <c r="AE93" i="1"/>
  <c r="BH96" i="1"/>
  <c r="BH113" i="1"/>
  <c r="BH79" i="1"/>
  <c r="BH10" i="1"/>
  <c r="BG10" i="1"/>
  <c r="BG31" i="1"/>
  <c r="Y95" i="1"/>
  <c r="CD17" i="1"/>
  <c r="V16" i="1" s="1"/>
  <c r="CG93" i="1"/>
  <c r="CG95" i="1"/>
  <c r="CG97" i="1"/>
  <c r="CG92" i="1"/>
  <c r="CG100" i="1"/>
  <c r="BL63" i="1"/>
  <c r="BL58" i="1"/>
  <c r="U59" i="1"/>
  <c r="BL61" i="1"/>
  <c r="BV93" i="1"/>
  <c r="BV95" i="1"/>
  <c r="BV97" i="1"/>
  <c r="Z109" i="1"/>
  <c r="BQ117" i="1" s="1"/>
  <c r="Z93" i="1"/>
  <c r="AG89" i="1"/>
  <c r="AG99" i="1" s="1"/>
  <c r="V15" i="1"/>
  <c r="CY6" i="1"/>
  <c r="AH149" i="1"/>
  <c r="AH157" i="1"/>
  <c r="BH130" i="1"/>
  <c r="BH136" i="1"/>
  <c r="BH135" i="1"/>
  <c r="BH127" i="1"/>
  <c r="BH129" i="1"/>
  <c r="BH128" i="1"/>
  <c r="BH126" i="1"/>
  <c r="CP132" i="1"/>
  <c r="CP131" i="1"/>
  <c r="CP134" i="1"/>
  <c r="CP130" i="1"/>
  <c r="CP129" i="1"/>
  <c r="CP128" i="1"/>
  <c r="CP127" i="1"/>
  <c r="AH145" i="1"/>
  <c r="CP126" i="1"/>
  <c r="CP136" i="1"/>
  <c r="AH129" i="1"/>
  <c r="CP135" i="1"/>
  <c r="CP133" i="1"/>
  <c r="CB69" i="1"/>
  <c r="T68" i="1" s="1"/>
  <c r="BV96" i="1"/>
  <c r="CO117" i="1"/>
  <c r="AG112" i="1"/>
  <c r="CO116" i="1"/>
  <c r="CO115" i="1"/>
  <c r="CO113" i="1"/>
  <c r="CO112" i="1"/>
  <c r="CO111" i="1"/>
  <c r="AG128" i="1"/>
  <c r="CO110" i="1"/>
  <c r="CO109" i="1"/>
  <c r="CO119" i="1"/>
  <c r="CO114" i="1"/>
  <c r="CO118" i="1"/>
  <c r="BX119" i="1"/>
  <c r="BX118" i="1"/>
  <c r="BX115" i="1"/>
  <c r="BX114" i="1"/>
  <c r="BX110" i="1"/>
  <c r="BX117" i="1"/>
  <c r="BX116" i="1"/>
  <c r="BX113" i="1"/>
  <c r="BX112" i="1"/>
  <c r="AG110" i="1"/>
  <c r="BX111" i="1"/>
  <c r="BX109" i="1"/>
  <c r="AG126" i="1"/>
  <c r="BV98" i="1"/>
  <c r="BV99" i="1"/>
  <c r="AE109" i="1"/>
  <c r="AE126" i="1" s="1"/>
  <c r="BV92" i="1"/>
  <c r="BV100" i="1"/>
  <c r="BL65" i="1"/>
  <c r="BQ100" i="1"/>
  <c r="BQ92" i="1"/>
  <c r="BQ101" i="1"/>
  <c r="BQ93" i="1"/>
  <c r="BQ102" i="1"/>
  <c r="BQ94" i="1"/>
  <c r="BQ95" i="1"/>
  <c r="BQ96" i="1"/>
  <c r="BQ97" i="1"/>
  <c r="BQ98" i="1"/>
  <c r="BW133" i="1"/>
  <c r="BW132" i="1"/>
  <c r="BW131" i="1"/>
  <c r="BW128" i="1"/>
  <c r="BW130" i="1"/>
  <c r="BW129" i="1"/>
  <c r="BW127" i="1"/>
  <c r="BW126" i="1"/>
  <c r="AF143" i="1"/>
  <c r="BW134" i="1"/>
  <c r="BW136" i="1"/>
  <c r="BW135" i="1"/>
  <c r="AF127" i="1"/>
  <c r="AF123" i="1"/>
  <c r="BL68" i="1"/>
  <c r="U75" i="1"/>
  <c r="BL60" i="1"/>
  <c r="BL67" i="1"/>
  <c r="AE123" i="1"/>
  <c r="Z82" i="1"/>
  <c r="DC75" i="1" s="1"/>
  <c r="CH92" i="1"/>
  <c r="AD123" i="1"/>
  <c r="BU136" i="1"/>
  <c r="BU135" i="1"/>
  <c r="BU134" i="1"/>
  <c r="BU133" i="1"/>
  <c r="BU132" i="1"/>
  <c r="BU131" i="1"/>
  <c r="AD127" i="1"/>
  <c r="BU130" i="1"/>
  <c r="BU129" i="1"/>
  <c r="AD143" i="1"/>
  <c r="BU128" i="1"/>
  <c r="BU127" i="1"/>
  <c r="BU126" i="1"/>
  <c r="Z95" i="1"/>
  <c r="CH94" i="1"/>
  <c r="Z111" i="1"/>
  <c r="CH116" i="1" s="1"/>
  <c r="CH96" i="1"/>
  <c r="CH97" i="1"/>
  <c r="CH98" i="1"/>
  <c r="CH93" i="1"/>
  <c r="CH100" i="1"/>
  <c r="CH101" i="1"/>
  <c r="CH95" i="1"/>
  <c r="CH102" i="1"/>
  <c r="AC123" i="1"/>
  <c r="BT130" i="1"/>
  <c r="BT129" i="1"/>
  <c r="BT128" i="1"/>
  <c r="BT127" i="1"/>
  <c r="BT126" i="1"/>
  <c r="BT136" i="1"/>
  <c r="BT132" i="1"/>
  <c r="BT135" i="1"/>
  <c r="AC143" i="1"/>
  <c r="BT134" i="1"/>
  <c r="BT133" i="1"/>
  <c r="AC127" i="1"/>
  <c r="BT131" i="1"/>
  <c r="BS93" i="1"/>
  <c r="BS92" i="1"/>
  <c r="BS97" i="1"/>
  <c r="BS102" i="1"/>
  <c r="AB109" i="1"/>
  <c r="BS101" i="1"/>
  <c r="AB93" i="1"/>
  <c r="BS100" i="1"/>
  <c r="BS99" i="1"/>
  <c r="BS96" i="1"/>
  <c r="BS94" i="1"/>
  <c r="BS98" i="1"/>
  <c r="BS95" i="1"/>
  <c r="AB123" i="1"/>
  <c r="V34" i="1"/>
  <c r="V36" i="1" s="1"/>
  <c r="AA126" i="1"/>
  <c r="BR116" i="1"/>
  <c r="BR115" i="1"/>
  <c r="BR114" i="1"/>
  <c r="AA110" i="1"/>
  <c r="BR113" i="1"/>
  <c r="BR112" i="1"/>
  <c r="BR111" i="1"/>
  <c r="BR110" i="1"/>
  <c r="BR109" i="1"/>
  <c r="BR117" i="1"/>
  <c r="BR119" i="1"/>
  <c r="BR118" i="1"/>
  <c r="AA123" i="1"/>
  <c r="CZ28" i="1"/>
  <c r="CE38" i="1"/>
  <c r="W37" i="1" s="1"/>
  <c r="W36" i="1"/>
  <c r="DA7" i="1"/>
  <c r="DA6" i="1"/>
  <c r="CF17" i="1"/>
  <c r="X16" i="1" s="1"/>
  <c r="X15" i="1"/>
  <c r="BP58" i="1"/>
  <c r="BP68" i="1"/>
  <c r="BP64" i="1"/>
  <c r="BP67" i="1"/>
  <c r="BP60" i="1"/>
  <c r="BP59" i="1"/>
  <c r="BP66" i="1"/>
  <c r="BP65" i="1"/>
  <c r="BP63" i="1"/>
  <c r="BP62" i="1"/>
  <c r="BP61" i="1"/>
  <c r="Y59" i="1"/>
  <c r="Y65" i="1" s="1"/>
  <c r="DB58" i="1" s="1"/>
  <c r="Y75" i="1"/>
  <c r="AX6" i="1"/>
  <c r="AX7" i="1"/>
  <c r="X56" i="1"/>
  <c r="X33" i="1"/>
  <c r="V75" i="1"/>
  <c r="BM64" i="1"/>
  <c r="BM66" i="1"/>
  <c r="BM65" i="1"/>
  <c r="BM59" i="1"/>
  <c r="BM63" i="1"/>
  <c r="BM58" i="1"/>
  <c r="BM62" i="1"/>
  <c r="BM68" i="1"/>
  <c r="BM61" i="1"/>
  <c r="BM60" i="1"/>
  <c r="BM67" i="1"/>
  <c r="V59" i="1"/>
  <c r="CG38" i="1"/>
  <c r="Y37" i="1" s="1"/>
  <c r="Y36" i="1"/>
  <c r="BO34" i="1"/>
  <c r="BO36" i="1"/>
  <c r="X58" i="1"/>
  <c r="BO29" i="1"/>
  <c r="BO31" i="1"/>
  <c r="BO33" i="1"/>
  <c r="BO27" i="1"/>
  <c r="BO35" i="1"/>
  <c r="BO28" i="1"/>
  <c r="BO32" i="1"/>
  <c r="BO30" i="1"/>
  <c r="X28" i="1"/>
  <c r="X34" i="1" s="1"/>
  <c r="BO37" i="1"/>
  <c r="DB28" i="1"/>
  <c r="BN67" i="1"/>
  <c r="BN58" i="1"/>
  <c r="BN61" i="1"/>
  <c r="BN64" i="1"/>
  <c r="W75" i="1"/>
  <c r="W59" i="1"/>
  <c r="W65" i="1" s="1"/>
  <c r="BN62" i="1"/>
  <c r="BN60" i="1"/>
  <c r="BN65" i="1"/>
  <c r="BN59" i="1"/>
  <c r="BN63" i="1"/>
  <c r="BN66" i="1"/>
  <c r="BN68" i="1"/>
  <c r="DB27" i="1"/>
  <c r="AV37" i="1"/>
  <c r="AV28" i="1"/>
  <c r="AV27" i="1"/>
  <c r="AV29" i="1"/>
  <c r="AV36" i="1"/>
  <c r="AV59" i="1"/>
  <c r="AV61" i="1"/>
  <c r="AV68" i="1"/>
  <c r="AV58" i="1"/>
  <c r="CF114" i="1"/>
  <c r="CF113" i="1"/>
  <c r="CF112" i="1"/>
  <c r="CF111" i="1"/>
  <c r="CF110" i="1"/>
  <c r="CF109" i="1"/>
  <c r="CF119" i="1"/>
  <c r="CF115" i="1"/>
  <c r="CF118" i="1"/>
  <c r="CF117" i="1"/>
  <c r="CF116" i="1"/>
  <c r="CE110" i="1"/>
  <c r="CE119" i="1"/>
  <c r="CE118" i="1"/>
  <c r="CE117" i="1"/>
  <c r="CE116" i="1"/>
  <c r="CE115" i="1"/>
  <c r="CE114" i="1"/>
  <c r="CE113" i="1"/>
  <c r="CE112" i="1"/>
  <c r="CE111" i="1"/>
  <c r="CE109" i="1"/>
  <c r="V61" i="1"/>
  <c r="CD68" i="1"/>
  <c r="CD66" i="1"/>
  <c r="CD67" i="1"/>
  <c r="CD65" i="1"/>
  <c r="CD62" i="1"/>
  <c r="CD64" i="1"/>
  <c r="CD63" i="1"/>
  <c r="CD61" i="1"/>
  <c r="CD60" i="1"/>
  <c r="CD59" i="1"/>
  <c r="CD58" i="1"/>
  <c r="V77" i="1"/>
  <c r="CW58" i="1"/>
  <c r="CW59" i="1"/>
  <c r="T67" i="1"/>
  <c r="CB100" i="1"/>
  <c r="BJ83" i="1"/>
  <c r="BJ82" i="1"/>
  <c r="BJ84" i="1"/>
  <c r="S92" i="1"/>
  <c r="BJ77" i="1"/>
  <c r="BJ85" i="1"/>
  <c r="S76" i="1"/>
  <c r="BJ79" i="1"/>
  <c r="BJ81" i="1"/>
  <c r="BJ76" i="1"/>
  <c r="BJ75" i="1"/>
  <c r="BJ78" i="1"/>
  <c r="BJ80" i="1"/>
  <c r="AR113" i="1"/>
  <c r="BI114" i="1" s="1"/>
  <c r="X106" i="1"/>
  <c r="W112" i="1"/>
  <c r="W128" i="1"/>
  <c r="X112" i="1"/>
  <c r="X128" i="1"/>
  <c r="AR181" i="1"/>
  <c r="BI182" i="1" s="1"/>
  <c r="AV85" i="1"/>
  <c r="AV83" i="1"/>
  <c r="AV75" i="1"/>
  <c r="AV76" i="1"/>
  <c r="AV84" i="1"/>
  <c r="AV77" i="1"/>
  <c r="AR130" i="1"/>
  <c r="AY68" i="1"/>
  <c r="AY58" i="1"/>
  <c r="AY59" i="1"/>
  <c r="AY60" i="1"/>
  <c r="Z123" i="1"/>
  <c r="Z115" i="1"/>
  <c r="AZ113" i="1" s="1"/>
  <c r="AZ10" i="1"/>
  <c r="AY10" i="1"/>
  <c r="AX10" i="1"/>
  <c r="AW10" i="1"/>
  <c r="AV10" i="1"/>
  <c r="AU10" i="1"/>
  <c r="AT10" i="1"/>
  <c r="AR10" i="1"/>
  <c r="BI11" i="1" s="1"/>
  <c r="BK95" i="1"/>
  <c r="BK97" i="1"/>
  <c r="T109" i="1"/>
  <c r="BK102" i="1"/>
  <c r="BK94" i="1"/>
  <c r="T93" i="1"/>
  <c r="BK96" i="1"/>
  <c r="BK100" i="1"/>
  <c r="BK99" i="1"/>
  <c r="BK98" i="1"/>
  <c r="BK93" i="1"/>
  <c r="BK101" i="1"/>
  <c r="BK92" i="1"/>
  <c r="AW62" i="1"/>
  <c r="AV62" i="1"/>
  <c r="AU62" i="1"/>
  <c r="AT62" i="1"/>
  <c r="AR62" i="1"/>
  <c r="AY62" i="1"/>
  <c r="AZ62" i="1"/>
  <c r="Y89" i="1"/>
  <c r="Y81" i="1"/>
  <c r="AY79" i="1" s="1"/>
  <c r="AT75" i="1"/>
  <c r="AT76" i="1"/>
  <c r="AT77" i="1"/>
  <c r="AT79" i="1"/>
  <c r="AR79" i="1"/>
  <c r="BI80" i="1" s="1"/>
  <c r="AZ79" i="1"/>
  <c r="AV79" i="1"/>
  <c r="AW79" i="1"/>
  <c r="AU79" i="1"/>
  <c r="AZ31" i="1"/>
  <c r="AY31" i="1"/>
  <c r="AW31" i="1"/>
  <c r="AV31" i="1"/>
  <c r="AU31" i="1"/>
  <c r="AT31" i="1"/>
  <c r="AR31" i="1"/>
  <c r="BI32" i="1" s="1"/>
  <c r="AW85" i="1"/>
  <c r="AW84" i="1"/>
  <c r="AW83" i="1"/>
  <c r="AW76" i="1"/>
  <c r="AW75" i="1"/>
  <c r="AW77" i="1"/>
  <c r="AV78" i="1"/>
  <c r="AR96" i="1"/>
  <c r="BI97" i="1" s="1"/>
  <c r="AZ96" i="1"/>
  <c r="AU85" i="1"/>
  <c r="AU75" i="1"/>
  <c r="AU83" i="1"/>
  <c r="AU84" i="1"/>
  <c r="AU76" i="1"/>
  <c r="AU77" i="1"/>
  <c r="W106" i="1"/>
  <c r="W98" i="1"/>
  <c r="AR164" i="1"/>
  <c r="BI165" i="1" s="1"/>
  <c r="AW78" i="1"/>
  <c r="AZ101" i="1"/>
  <c r="AZ92" i="1"/>
  <c r="AZ102" i="1"/>
  <c r="AZ100" i="1"/>
  <c r="AZ93" i="1"/>
  <c r="AZ94" i="1"/>
  <c r="AZ95" i="1"/>
  <c r="AR147" i="1"/>
  <c r="BI148" i="1" s="1"/>
  <c r="U106" i="1"/>
  <c r="U98" i="1"/>
  <c r="T106" i="1"/>
  <c r="T98" i="1"/>
  <c r="V106" i="1"/>
  <c r="V98" i="1"/>
  <c r="AG82" i="1" l="1"/>
  <c r="BG58" i="1"/>
  <c r="BG59" i="1"/>
  <c r="BG62" i="1"/>
  <c r="BG60" i="1"/>
  <c r="BG61" i="1"/>
  <c r="D104" i="1"/>
  <c r="J103" i="1"/>
  <c r="H9" i="1" s="1"/>
  <c r="T111" i="1"/>
  <c r="CB112" i="1" s="1"/>
  <c r="CB92" i="1"/>
  <c r="BH63" i="1"/>
  <c r="BI63" i="1"/>
  <c r="CB97" i="1"/>
  <c r="CB86" i="1"/>
  <c r="T85" i="1" s="1"/>
  <c r="BQ119" i="1"/>
  <c r="BH131" i="1"/>
  <c r="BI131" i="1"/>
  <c r="CG113" i="1"/>
  <c r="CG111" i="1"/>
  <c r="Z126" i="1"/>
  <c r="BQ134" i="1" s="1"/>
  <c r="BQ109" i="1"/>
  <c r="BQ116" i="1"/>
  <c r="CG117" i="1"/>
  <c r="BV115" i="1"/>
  <c r="Z110" i="1"/>
  <c r="CB94" i="1"/>
  <c r="CB99" i="1"/>
  <c r="CB102" i="1"/>
  <c r="BQ111" i="1"/>
  <c r="BQ114" i="1"/>
  <c r="AX37" i="1"/>
  <c r="AX31" i="1"/>
  <c r="AX28" i="1"/>
  <c r="AX36" i="1"/>
  <c r="AX32" i="1"/>
  <c r="AX30" i="1"/>
  <c r="AX27" i="1"/>
  <c r="T95" i="1"/>
  <c r="T99" i="1" s="1"/>
  <c r="Y112" i="1"/>
  <c r="Z128" i="1"/>
  <c r="CH130" i="1" s="1"/>
  <c r="CB93" i="1"/>
  <c r="CB96" i="1"/>
  <c r="CB98" i="1"/>
  <c r="CB95" i="1"/>
  <c r="CG115" i="1"/>
  <c r="CG119" i="1"/>
  <c r="BV112" i="1"/>
  <c r="AE110" i="1"/>
  <c r="Y128" i="1"/>
  <c r="CG126" i="1" s="1"/>
  <c r="CG112" i="1"/>
  <c r="CG114" i="1"/>
  <c r="CG116" i="1"/>
  <c r="CG118" i="1"/>
  <c r="CG110" i="1"/>
  <c r="Z99" i="1"/>
  <c r="DC93" i="1" s="1"/>
  <c r="BV113" i="1"/>
  <c r="BV117" i="1"/>
  <c r="BV109" i="1"/>
  <c r="BH97" i="1"/>
  <c r="BH114" i="1"/>
  <c r="BH80" i="1"/>
  <c r="DJ92" i="1"/>
  <c r="DJ93" i="1"/>
  <c r="BH11" i="1"/>
  <c r="BG11" i="1"/>
  <c r="BG63" i="1"/>
  <c r="BH32" i="1"/>
  <c r="BG32" i="1"/>
  <c r="Z112" i="1"/>
  <c r="BQ118" i="1"/>
  <c r="BQ110" i="1"/>
  <c r="BQ112" i="1"/>
  <c r="BQ113" i="1"/>
  <c r="BQ115" i="1"/>
  <c r="BV111" i="1"/>
  <c r="BV110" i="1"/>
  <c r="BV114" i="1"/>
  <c r="BV116" i="1"/>
  <c r="BV118" i="1"/>
  <c r="BV119" i="1"/>
  <c r="CO103" i="1"/>
  <c r="AG102" i="1" s="1"/>
  <c r="AG101" i="1"/>
  <c r="CO86" i="1"/>
  <c r="AG85" i="1" s="1"/>
  <c r="AG84" i="1"/>
  <c r="DJ76" i="1"/>
  <c r="DJ75" i="1"/>
  <c r="BG75" i="1"/>
  <c r="BG85" i="1"/>
  <c r="BG84" i="1"/>
  <c r="BG80" i="1"/>
  <c r="BG79" i="1"/>
  <c r="BG78" i="1"/>
  <c r="BG83" i="1"/>
  <c r="BG77" i="1"/>
  <c r="BG76" i="1"/>
  <c r="AG98" i="1"/>
  <c r="AG106" i="1"/>
  <c r="CP150" i="1"/>
  <c r="CP152" i="1"/>
  <c r="CP149" i="1"/>
  <c r="AH162" i="1"/>
  <c r="CP148" i="1"/>
  <c r="CP147" i="1"/>
  <c r="CP146" i="1"/>
  <c r="AH146" i="1"/>
  <c r="CP145" i="1"/>
  <c r="CP144" i="1"/>
  <c r="CP143" i="1"/>
  <c r="CP153" i="1"/>
  <c r="CP151" i="1"/>
  <c r="AH166" i="1"/>
  <c r="AH174" i="1"/>
  <c r="BH143" i="1"/>
  <c r="BH145" i="1"/>
  <c r="BH148" i="1"/>
  <c r="BH147" i="1"/>
  <c r="BH146" i="1"/>
  <c r="BH144" i="1"/>
  <c r="CH114" i="1"/>
  <c r="BX126" i="1"/>
  <c r="BX136" i="1"/>
  <c r="BX133" i="1"/>
  <c r="BX132" i="1"/>
  <c r="BX131" i="1"/>
  <c r="AG143" i="1"/>
  <c r="BX130" i="1"/>
  <c r="BX135" i="1"/>
  <c r="BX129" i="1"/>
  <c r="BX128" i="1"/>
  <c r="BX134" i="1"/>
  <c r="AG127" i="1"/>
  <c r="BX127" i="1"/>
  <c r="CO134" i="1"/>
  <c r="CO133" i="1"/>
  <c r="CO131" i="1"/>
  <c r="CO130" i="1"/>
  <c r="AG145" i="1"/>
  <c r="CO129" i="1"/>
  <c r="CO128" i="1"/>
  <c r="CO127" i="1"/>
  <c r="CO132" i="1"/>
  <c r="AG129" i="1"/>
  <c r="CO126" i="1"/>
  <c r="CO136" i="1"/>
  <c r="CO135" i="1"/>
  <c r="CH111" i="1"/>
  <c r="DB59" i="1"/>
  <c r="BW151" i="1"/>
  <c r="BW150" i="1"/>
  <c r="BW149" i="1"/>
  <c r="BW148" i="1"/>
  <c r="AF160" i="1"/>
  <c r="BW147" i="1"/>
  <c r="BW146" i="1"/>
  <c r="BW145" i="1"/>
  <c r="AF144" i="1"/>
  <c r="BW144" i="1"/>
  <c r="BW152" i="1"/>
  <c r="BW143" i="1"/>
  <c r="BW153" i="1"/>
  <c r="AF140" i="1"/>
  <c r="CH112" i="1"/>
  <c r="Z84" i="1"/>
  <c r="CH86" i="1"/>
  <c r="Z85" i="1" s="1"/>
  <c r="DC76" i="1"/>
  <c r="BL83" i="1"/>
  <c r="BL80" i="1"/>
  <c r="BL75" i="1"/>
  <c r="BL82" i="1"/>
  <c r="BL79" i="1"/>
  <c r="BL84" i="1"/>
  <c r="U92" i="1"/>
  <c r="U76" i="1"/>
  <c r="BL77" i="1"/>
  <c r="BL85" i="1"/>
  <c r="BL81" i="1"/>
  <c r="BL76" i="1"/>
  <c r="BL78" i="1"/>
  <c r="BV127" i="1"/>
  <c r="BV126" i="1"/>
  <c r="BV136" i="1"/>
  <c r="BV135" i="1"/>
  <c r="BV134" i="1"/>
  <c r="BV133" i="1"/>
  <c r="AE127" i="1"/>
  <c r="BV132" i="1"/>
  <c r="AE143" i="1"/>
  <c r="BV131" i="1"/>
  <c r="BV130" i="1"/>
  <c r="BV128" i="1"/>
  <c r="BV129" i="1"/>
  <c r="AE140" i="1"/>
  <c r="CH113" i="1"/>
  <c r="CH117" i="1"/>
  <c r="CH118" i="1"/>
  <c r="CH115" i="1"/>
  <c r="CH119" i="1"/>
  <c r="CH110" i="1"/>
  <c r="CH109" i="1"/>
  <c r="BU153" i="1"/>
  <c r="BU152" i="1"/>
  <c r="BU151" i="1"/>
  <c r="AD160" i="1"/>
  <c r="BU150" i="1"/>
  <c r="BU149" i="1"/>
  <c r="BU148" i="1"/>
  <c r="AD144" i="1"/>
  <c r="BU147" i="1"/>
  <c r="BU143" i="1"/>
  <c r="BU146" i="1"/>
  <c r="BU145" i="1"/>
  <c r="BU144" i="1"/>
  <c r="AD140" i="1"/>
  <c r="BT148" i="1"/>
  <c r="BT150" i="1"/>
  <c r="BT147" i="1"/>
  <c r="BT146" i="1"/>
  <c r="BT145" i="1"/>
  <c r="AC160" i="1"/>
  <c r="BT144" i="1"/>
  <c r="BT143" i="1"/>
  <c r="AC144" i="1"/>
  <c r="BT153" i="1"/>
  <c r="BT152" i="1"/>
  <c r="BT151" i="1"/>
  <c r="BT149" i="1"/>
  <c r="AC140" i="1"/>
  <c r="BS111" i="1"/>
  <c r="AB126" i="1"/>
  <c r="BS119" i="1"/>
  <c r="AB110" i="1"/>
  <c r="BS110" i="1"/>
  <c r="BS118" i="1"/>
  <c r="BS117" i="1"/>
  <c r="BS116" i="1"/>
  <c r="BS115" i="1"/>
  <c r="BS112" i="1"/>
  <c r="BS114" i="1"/>
  <c r="BS113" i="1"/>
  <c r="BS109" i="1"/>
  <c r="T84" i="1"/>
  <c r="CW75" i="1"/>
  <c r="AB140" i="1"/>
  <c r="CD38" i="1"/>
  <c r="V37" i="1" s="1"/>
  <c r="CY27" i="1"/>
  <c r="CY28" i="1"/>
  <c r="AA140" i="1"/>
  <c r="BR134" i="1"/>
  <c r="BR133" i="1"/>
  <c r="BR132" i="1"/>
  <c r="BR135" i="1"/>
  <c r="BR131" i="1"/>
  <c r="BR130" i="1"/>
  <c r="AA127" i="1"/>
  <c r="BR129" i="1"/>
  <c r="BR128" i="1"/>
  <c r="BR127" i="1"/>
  <c r="AA143" i="1"/>
  <c r="BR126" i="1"/>
  <c r="BR136" i="1"/>
  <c r="CW76" i="1"/>
  <c r="BM85" i="1"/>
  <c r="BM82" i="1"/>
  <c r="BM83" i="1"/>
  <c r="V76" i="1"/>
  <c r="BM79" i="1"/>
  <c r="BM81" i="1"/>
  <c r="BM76" i="1"/>
  <c r="BM80" i="1"/>
  <c r="BM84" i="1"/>
  <c r="BM75" i="1"/>
  <c r="BM78" i="1"/>
  <c r="BM77" i="1"/>
  <c r="V92" i="1"/>
  <c r="CE69" i="1"/>
  <c r="W68" i="1" s="1"/>
  <c r="W67" i="1"/>
  <c r="CZ59" i="1"/>
  <c r="CZ58" i="1"/>
  <c r="DA28" i="1"/>
  <c r="DA27" i="1"/>
  <c r="X36" i="1"/>
  <c r="CF38" i="1"/>
  <c r="X37" i="1" s="1"/>
  <c r="BN85" i="1"/>
  <c r="BN84" i="1"/>
  <c r="BN79" i="1"/>
  <c r="BN81" i="1"/>
  <c r="W76" i="1"/>
  <c r="W82" i="1" s="1"/>
  <c r="BN76" i="1"/>
  <c r="BN82" i="1"/>
  <c r="BN83" i="1"/>
  <c r="BN75" i="1"/>
  <c r="BN78" i="1"/>
  <c r="BN77" i="1"/>
  <c r="W92" i="1"/>
  <c r="BN80" i="1"/>
  <c r="X73" i="1"/>
  <c r="X64" i="1"/>
  <c r="V65" i="1"/>
  <c r="V67" i="1" s="1"/>
  <c r="X59" i="1"/>
  <c r="X65" i="1" s="1"/>
  <c r="X75" i="1"/>
  <c r="BO59" i="1"/>
  <c r="BO63" i="1"/>
  <c r="BO64" i="1"/>
  <c r="BO58" i="1"/>
  <c r="BO62" i="1"/>
  <c r="BO68" i="1"/>
  <c r="BO65" i="1"/>
  <c r="BO66" i="1"/>
  <c r="BO67" i="1"/>
  <c r="BO61" i="1"/>
  <c r="BO60" i="1"/>
  <c r="BP76" i="1"/>
  <c r="BP77" i="1"/>
  <c r="BP75" i="1"/>
  <c r="BP85" i="1"/>
  <c r="BP84" i="1"/>
  <c r="BP83" i="1"/>
  <c r="BP82" i="1"/>
  <c r="BP79" i="1"/>
  <c r="BP81" i="1"/>
  <c r="BP80" i="1"/>
  <c r="BP78" i="1"/>
  <c r="Y92" i="1"/>
  <c r="Y76" i="1"/>
  <c r="Y82" i="1" s="1"/>
  <c r="DB75" i="1" s="1"/>
  <c r="CG69" i="1"/>
  <c r="Y68" i="1" s="1"/>
  <c r="Y67" i="1"/>
  <c r="CF131" i="1"/>
  <c r="CF130" i="1"/>
  <c r="CF128" i="1"/>
  <c r="CF127" i="1"/>
  <c r="CF126" i="1"/>
  <c r="CF136" i="1"/>
  <c r="CF135" i="1"/>
  <c r="CF129" i="1"/>
  <c r="CF134" i="1"/>
  <c r="CF132" i="1"/>
  <c r="CF133" i="1"/>
  <c r="CE128" i="1"/>
  <c r="CE127" i="1"/>
  <c r="CE126" i="1"/>
  <c r="CE136" i="1"/>
  <c r="CE135" i="1"/>
  <c r="CE134" i="1"/>
  <c r="CE133" i="1"/>
  <c r="CE132" i="1"/>
  <c r="CE129" i="1"/>
  <c r="CE131" i="1"/>
  <c r="CE130" i="1"/>
  <c r="AW96" i="1"/>
  <c r="AV96" i="1"/>
  <c r="CD79" i="1"/>
  <c r="CD85" i="1"/>
  <c r="CD84" i="1"/>
  <c r="CD77" i="1"/>
  <c r="CD76" i="1"/>
  <c r="CD83" i="1"/>
  <c r="CD82" i="1"/>
  <c r="CD81" i="1"/>
  <c r="CD80" i="1"/>
  <c r="CD78" i="1"/>
  <c r="CD75" i="1"/>
  <c r="V94" i="1"/>
  <c r="V78" i="1"/>
  <c r="CB119" i="1"/>
  <c r="S8" i="1"/>
  <c r="U8" i="1" s="1"/>
  <c r="U9" i="1" s="1"/>
  <c r="X129" i="1"/>
  <c r="X145" i="1"/>
  <c r="AT92" i="1"/>
  <c r="AT93" i="1"/>
  <c r="AT94" i="1"/>
  <c r="AT95" i="1"/>
  <c r="AW32" i="1"/>
  <c r="AU32" i="1"/>
  <c r="AT32" i="1"/>
  <c r="AR32" i="1"/>
  <c r="BI33" i="1" s="1"/>
  <c r="AZ32" i="1"/>
  <c r="Z35" i="1" s="1"/>
  <c r="Z39" i="1" s="1"/>
  <c r="AV32" i="1"/>
  <c r="AY32" i="1"/>
  <c r="W129" i="1"/>
  <c r="W145" i="1"/>
  <c r="BJ92" i="1"/>
  <c r="BJ95" i="1"/>
  <c r="BJ97" i="1"/>
  <c r="S109" i="1"/>
  <c r="BJ102" i="1"/>
  <c r="BJ94" i="1"/>
  <c r="S93" i="1"/>
  <c r="BJ96" i="1"/>
  <c r="BJ100" i="1"/>
  <c r="BJ98" i="1"/>
  <c r="BJ99" i="1"/>
  <c r="BJ93" i="1"/>
  <c r="BJ101" i="1"/>
  <c r="T126" i="1"/>
  <c r="BK117" i="1"/>
  <c r="BK116" i="1"/>
  <c r="BK111" i="1"/>
  <c r="BK118" i="1"/>
  <c r="T110" i="1"/>
  <c r="BK113" i="1"/>
  <c r="BK115" i="1"/>
  <c r="BK110" i="1"/>
  <c r="BK109" i="1"/>
  <c r="BK112" i="1"/>
  <c r="BK114" i="1"/>
  <c r="BK119" i="1"/>
  <c r="AZ114" i="1"/>
  <c r="AR114" i="1"/>
  <c r="BI115" i="1" s="1"/>
  <c r="AR131" i="1"/>
  <c r="AU63" i="1"/>
  <c r="AT63" i="1"/>
  <c r="AR63" i="1"/>
  <c r="BI64" i="1" s="1"/>
  <c r="AY63" i="1"/>
  <c r="AW63" i="1"/>
  <c r="AZ63" i="1"/>
  <c r="AV63" i="1"/>
  <c r="U115" i="1"/>
  <c r="U123" i="1"/>
  <c r="AR182" i="1"/>
  <c r="BI183" i="1" s="1"/>
  <c r="AW100" i="1"/>
  <c r="AW101" i="1"/>
  <c r="AW92" i="1"/>
  <c r="AW102" i="1"/>
  <c r="AW93" i="1"/>
  <c r="AW94" i="1"/>
  <c r="AW95" i="1"/>
  <c r="AR97" i="1"/>
  <c r="BI98" i="1" s="1"/>
  <c r="AZ97" i="1"/>
  <c r="AW97" i="1"/>
  <c r="AU97" i="1"/>
  <c r="AV97" i="1"/>
  <c r="AT97" i="1"/>
  <c r="X123" i="1"/>
  <c r="T115" i="1"/>
  <c r="AT114" i="1" s="1"/>
  <c r="T123" i="1"/>
  <c r="AR148" i="1"/>
  <c r="W123" i="1"/>
  <c r="W115" i="1"/>
  <c r="AZ119" i="1"/>
  <c r="AZ117" i="1"/>
  <c r="AZ118" i="1"/>
  <c r="AZ109" i="1"/>
  <c r="AZ110" i="1"/>
  <c r="AZ111" i="1"/>
  <c r="AZ112" i="1"/>
  <c r="AT11" i="1"/>
  <c r="AZ11" i="1"/>
  <c r="AY11" i="1"/>
  <c r="AX11" i="1"/>
  <c r="AW11" i="1"/>
  <c r="AV11" i="1"/>
  <c r="AU11" i="1"/>
  <c r="AR11" i="1"/>
  <c r="AR165" i="1"/>
  <c r="BI166" i="1" s="1"/>
  <c r="AT96" i="1"/>
  <c r="AZ80" i="1"/>
  <c r="Z83" i="1" s="1"/>
  <c r="AY80" i="1"/>
  <c r="AW80" i="1"/>
  <c r="AV80" i="1"/>
  <c r="AU80" i="1"/>
  <c r="AT80" i="1"/>
  <c r="AR80" i="1"/>
  <c r="BI81" i="1" s="1"/>
  <c r="AY85" i="1"/>
  <c r="AY83" i="1"/>
  <c r="AY84" i="1"/>
  <c r="AY76" i="1"/>
  <c r="AY75" i="1"/>
  <c r="AY77" i="1"/>
  <c r="AY78" i="1"/>
  <c r="V115" i="1"/>
  <c r="V123" i="1"/>
  <c r="AU102" i="1"/>
  <c r="AU100" i="1"/>
  <c r="AU101" i="1"/>
  <c r="AU92" i="1"/>
  <c r="AU93" i="1"/>
  <c r="AU94" i="1"/>
  <c r="AU95" i="1"/>
  <c r="AV102" i="1"/>
  <c r="AV100" i="1"/>
  <c r="AV101" i="1"/>
  <c r="AV92" i="1"/>
  <c r="AV93" i="1"/>
  <c r="AV94" i="1"/>
  <c r="AV95" i="1"/>
  <c r="AU96" i="1"/>
  <c r="Y106" i="1"/>
  <c r="Y98" i="1"/>
  <c r="AY97" i="1" s="1"/>
  <c r="Z140" i="1"/>
  <c r="Z132" i="1"/>
  <c r="AZ131" i="1" s="1"/>
  <c r="D74" i="1" l="1"/>
  <c r="D105" i="1"/>
  <c r="CB110" i="1"/>
  <c r="CH133" i="1"/>
  <c r="CB111" i="1"/>
  <c r="CB116" i="1"/>
  <c r="T112" i="1"/>
  <c r="T116" i="1" s="1"/>
  <c r="CB120" i="1" s="1"/>
  <c r="T119" i="1" s="1"/>
  <c r="CB118" i="1"/>
  <c r="T128" i="1"/>
  <c r="CB135" i="1" s="1"/>
  <c r="CB115" i="1"/>
  <c r="CB113" i="1"/>
  <c r="CB117" i="1"/>
  <c r="CB109" i="1"/>
  <c r="CB114" i="1"/>
  <c r="D75" i="1"/>
  <c r="J104" i="1"/>
  <c r="Z127" i="1"/>
  <c r="BQ132" i="1"/>
  <c r="BQ128" i="1"/>
  <c r="BQ135" i="1"/>
  <c r="BI12" i="1"/>
  <c r="AX12" i="1"/>
  <c r="AX33" i="1"/>
  <c r="BQ136" i="1"/>
  <c r="BQ130" i="1"/>
  <c r="BQ126" i="1"/>
  <c r="BH149" i="1"/>
  <c r="BI149" i="1"/>
  <c r="BH132" i="1"/>
  <c r="BI132" i="1"/>
  <c r="CG132" i="1"/>
  <c r="Z143" i="1"/>
  <c r="BQ152" i="1" s="1"/>
  <c r="CG128" i="1"/>
  <c r="CG136" i="1"/>
  <c r="BQ127" i="1"/>
  <c r="BQ129" i="1"/>
  <c r="BQ131" i="1"/>
  <c r="BQ133" i="1"/>
  <c r="Z116" i="1"/>
  <c r="CH120" i="1" s="1"/>
  <c r="Z119" i="1" s="1"/>
  <c r="Y129" i="1"/>
  <c r="CG130" i="1"/>
  <c r="CG134" i="1"/>
  <c r="CG127" i="1"/>
  <c r="DC92" i="1"/>
  <c r="Z101" i="1"/>
  <c r="CH127" i="1"/>
  <c r="Z145" i="1"/>
  <c r="CH145" i="1" s="1"/>
  <c r="CH134" i="1"/>
  <c r="CH136" i="1"/>
  <c r="CH129" i="1"/>
  <c r="AX68" i="1"/>
  <c r="AX64" i="1"/>
  <c r="AX62" i="1"/>
  <c r="AX59" i="1"/>
  <c r="AX63" i="1"/>
  <c r="AX61" i="1"/>
  <c r="AX58" i="1"/>
  <c r="Z129" i="1"/>
  <c r="Z133" i="1" s="1"/>
  <c r="CH132" i="1"/>
  <c r="CH131" i="1"/>
  <c r="CH135" i="1"/>
  <c r="CH126" i="1"/>
  <c r="CH128" i="1"/>
  <c r="Y145" i="1"/>
  <c r="CG144" i="1" s="1"/>
  <c r="Z100" i="1"/>
  <c r="CG129" i="1"/>
  <c r="CG131" i="1"/>
  <c r="CG133" i="1"/>
  <c r="CG135" i="1"/>
  <c r="CH103" i="1"/>
  <c r="Z102" i="1" s="1"/>
  <c r="BH81" i="1"/>
  <c r="BH115" i="1"/>
  <c r="BH98" i="1"/>
  <c r="BH33" i="1"/>
  <c r="BG33" i="1"/>
  <c r="BH64" i="1"/>
  <c r="BG64" i="1"/>
  <c r="BH12" i="1"/>
  <c r="BG12" i="1"/>
  <c r="BG81" i="1"/>
  <c r="AG83" i="1" s="1"/>
  <c r="AG87" i="1" s="1"/>
  <c r="AG123" i="1"/>
  <c r="AG133" i="1" s="1"/>
  <c r="DJ127" i="1" s="1"/>
  <c r="AG115" i="1"/>
  <c r="BG94" i="1"/>
  <c r="BG95" i="1"/>
  <c r="BG92" i="1"/>
  <c r="BG93" i="1"/>
  <c r="BG100" i="1"/>
  <c r="BG102" i="1"/>
  <c r="BG98" i="1"/>
  <c r="BG97" i="1"/>
  <c r="BG101" i="1"/>
  <c r="BG96" i="1"/>
  <c r="AG116" i="1"/>
  <c r="AH183" i="1"/>
  <c r="CP168" i="1"/>
  <c r="AH163" i="1"/>
  <c r="CP167" i="1"/>
  <c r="CP166" i="1"/>
  <c r="CP170" i="1"/>
  <c r="CP165" i="1"/>
  <c r="CP164" i="1"/>
  <c r="CP163" i="1"/>
  <c r="AH179" i="1"/>
  <c r="CP162" i="1"/>
  <c r="CP161" i="1"/>
  <c r="CP160" i="1"/>
  <c r="CP169" i="1"/>
  <c r="BH161" i="1"/>
  <c r="BH160" i="1"/>
  <c r="BH166" i="1"/>
  <c r="BH170" i="1"/>
  <c r="BH169" i="1"/>
  <c r="BH163" i="1"/>
  <c r="BH165" i="1"/>
  <c r="BH164" i="1"/>
  <c r="BH162" i="1"/>
  <c r="V82" i="1"/>
  <c r="CY75" i="1" s="1"/>
  <c r="BX153" i="1"/>
  <c r="BX143" i="1"/>
  <c r="AG160" i="1"/>
  <c r="BX151" i="1"/>
  <c r="BX150" i="1"/>
  <c r="BX144" i="1"/>
  <c r="AG144" i="1"/>
  <c r="BX149" i="1"/>
  <c r="BX148" i="1"/>
  <c r="BX146" i="1"/>
  <c r="BX152" i="1"/>
  <c r="BX147" i="1"/>
  <c r="BX145" i="1"/>
  <c r="CO152" i="1"/>
  <c r="CO151" i="1"/>
  <c r="CO150" i="1"/>
  <c r="AG162" i="1"/>
  <c r="CO149" i="1"/>
  <c r="AG146" i="1"/>
  <c r="CO148" i="1"/>
  <c r="CO147" i="1"/>
  <c r="CO143" i="1"/>
  <c r="CO146" i="1"/>
  <c r="CO145" i="1"/>
  <c r="CO144" i="1"/>
  <c r="CO153" i="1"/>
  <c r="BV148" i="1"/>
  <c r="BV147" i="1"/>
  <c r="BV150" i="1"/>
  <c r="BV146" i="1"/>
  <c r="BV145" i="1"/>
  <c r="BV143" i="1"/>
  <c r="BV144" i="1"/>
  <c r="BV149" i="1"/>
  <c r="BV153" i="1"/>
  <c r="BV152" i="1"/>
  <c r="BV151" i="1"/>
  <c r="Z87" i="1"/>
  <c r="AF177" i="1"/>
  <c r="BW160" i="1"/>
  <c r="BW167" i="1"/>
  <c r="BW170" i="1"/>
  <c r="AF161" i="1"/>
  <c r="BW169" i="1"/>
  <c r="BW168" i="1"/>
  <c r="BW166" i="1"/>
  <c r="BW161" i="1"/>
  <c r="BW165" i="1"/>
  <c r="BW164" i="1"/>
  <c r="BW163" i="1"/>
  <c r="BW162" i="1"/>
  <c r="AF157" i="1"/>
  <c r="BL101" i="1"/>
  <c r="BL99" i="1"/>
  <c r="BL95" i="1"/>
  <c r="BL97" i="1"/>
  <c r="BL92" i="1"/>
  <c r="U109" i="1"/>
  <c r="BL96" i="1"/>
  <c r="BL102" i="1"/>
  <c r="BL94" i="1"/>
  <c r="U93" i="1"/>
  <c r="BL100" i="1"/>
  <c r="BL98" i="1"/>
  <c r="BL93" i="1"/>
  <c r="AE157" i="1"/>
  <c r="AE160" i="1"/>
  <c r="AE144" i="1"/>
  <c r="AD157" i="1"/>
  <c r="AD177" i="1"/>
  <c r="BU160" i="1"/>
  <c r="BU170" i="1"/>
  <c r="AD161" i="1"/>
  <c r="BU169" i="1"/>
  <c r="BU161" i="1"/>
  <c r="BU168" i="1"/>
  <c r="BU167" i="1"/>
  <c r="BU166" i="1"/>
  <c r="BU165" i="1"/>
  <c r="BU164" i="1"/>
  <c r="BU163" i="1"/>
  <c r="BU162" i="1"/>
  <c r="DB76" i="1"/>
  <c r="AC177" i="1"/>
  <c r="BT166" i="1"/>
  <c r="BT165" i="1"/>
  <c r="BT164" i="1"/>
  <c r="AC161" i="1"/>
  <c r="BT163" i="1"/>
  <c r="BT162" i="1"/>
  <c r="BT168" i="1"/>
  <c r="BT161" i="1"/>
  <c r="BT160" i="1"/>
  <c r="BT170" i="1"/>
  <c r="BT169" i="1"/>
  <c r="BT167" i="1"/>
  <c r="AC157" i="1"/>
  <c r="AV33" i="1"/>
  <c r="BS136" i="1"/>
  <c r="BS135" i="1"/>
  <c r="BS126" i="1"/>
  <c r="BS134" i="1"/>
  <c r="BS133" i="1"/>
  <c r="BS132" i="1"/>
  <c r="BS131" i="1"/>
  <c r="BS128" i="1"/>
  <c r="BS127" i="1"/>
  <c r="AB143" i="1"/>
  <c r="BS129" i="1"/>
  <c r="AB127" i="1"/>
  <c r="BS130" i="1"/>
  <c r="CY59" i="1"/>
  <c r="AB157" i="1"/>
  <c r="CH148" i="1"/>
  <c r="CH151" i="1"/>
  <c r="AA157" i="1"/>
  <c r="BR152" i="1"/>
  <c r="BR151" i="1"/>
  <c r="BR153" i="1"/>
  <c r="BR150" i="1"/>
  <c r="BR149" i="1"/>
  <c r="AA160" i="1"/>
  <c r="BR148" i="1"/>
  <c r="BR147" i="1"/>
  <c r="BR146" i="1"/>
  <c r="AA144" i="1"/>
  <c r="BR145" i="1"/>
  <c r="BR144" i="1"/>
  <c r="BR143" i="1"/>
  <c r="CY58" i="1"/>
  <c r="CD69" i="1"/>
  <c r="V68" i="1" s="1"/>
  <c r="DA58" i="1"/>
  <c r="DA59" i="1"/>
  <c r="X67" i="1"/>
  <c r="CF69" i="1"/>
  <c r="X68" i="1" s="1"/>
  <c r="AV98" i="1"/>
  <c r="CG86" i="1"/>
  <c r="Y85" i="1" s="1"/>
  <c r="Y84" i="1"/>
  <c r="BO83" i="1"/>
  <c r="BO75" i="1"/>
  <c r="BO78" i="1"/>
  <c r="BO84" i="1"/>
  <c r="BO80" i="1"/>
  <c r="BO82" i="1"/>
  <c r="X76" i="1"/>
  <c r="X82" i="1" s="1"/>
  <c r="BO79" i="1"/>
  <c r="X92" i="1"/>
  <c r="BO77" i="1"/>
  <c r="BO81" i="1"/>
  <c r="BO85" i="1"/>
  <c r="BO76" i="1"/>
  <c r="BN101" i="1"/>
  <c r="BN92" i="1"/>
  <c r="BN97" i="1"/>
  <c r="W109" i="1"/>
  <c r="BN95" i="1"/>
  <c r="BN102" i="1"/>
  <c r="BN94" i="1"/>
  <c r="BN96" i="1"/>
  <c r="W93" i="1"/>
  <c r="W99" i="1" s="1"/>
  <c r="BN100" i="1"/>
  <c r="BN99" i="1"/>
  <c r="BN98" i="1"/>
  <c r="BN93" i="1"/>
  <c r="BP94" i="1"/>
  <c r="BP93" i="1"/>
  <c r="BP97" i="1"/>
  <c r="BP92" i="1"/>
  <c r="BP96" i="1"/>
  <c r="BP102" i="1"/>
  <c r="BP101" i="1"/>
  <c r="BP100" i="1"/>
  <c r="BP99" i="1"/>
  <c r="BP95" i="1"/>
  <c r="BP98" i="1"/>
  <c r="Y93" i="1"/>
  <c r="Y99" i="1" s="1"/>
  <c r="DB93" i="1" s="1"/>
  <c r="Y109" i="1"/>
  <c r="AW98" i="1"/>
  <c r="X90" i="1"/>
  <c r="X81" i="1"/>
  <c r="AX81" i="1" s="1"/>
  <c r="CZ75" i="1"/>
  <c r="CE86" i="1"/>
  <c r="W85" i="1" s="1"/>
  <c r="W84" i="1"/>
  <c r="CZ76" i="1"/>
  <c r="AV81" i="1"/>
  <c r="BM98" i="1"/>
  <c r="BM93" i="1"/>
  <c r="BM101" i="1"/>
  <c r="BM92" i="1"/>
  <c r="BM97" i="1"/>
  <c r="BM95" i="1"/>
  <c r="V109" i="1"/>
  <c r="BM102" i="1"/>
  <c r="BM94" i="1"/>
  <c r="V93" i="1"/>
  <c r="BM96" i="1"/>
  <c r="BM100" i="1"/>
  <c r="BM99" i="1"/>
  <c r="CB103" i="1"/>
  <c r="T102" i="1" s="1"/>
  <c r="CE146" i="1"/>
  <c r="CE143" i="1"/>
  <c r="CE153" i="1"/>
  <c r="CE152" i="1"/>
  <c r="CE151" i="1"/>
  <c r="CE144" i="1"/>
  <c r="CE150" i="1"/>
  <c r="CE145" i="1"/>
  <c r="CE149" i="1"/>
  <c r="CE147" i="1"/>
  <c r="CE148" i="1"/>
  <c r="CF148" i="1"/>
  <c r="CF147" i="1"/>
  <c r="CF145" i="1"/>
  <c r="CF144" i="1"/>
  <c r="CF143" i="1"/>
  <c r="CF153" i="1"/>
  <c r="CF152" i="1"/>
  <c r="CF151" i="1"/>
  <c r="CF150" i="1"/>
  <c r="CF149" i="1"/>
  <c r="CF146" i="1"/>
  <c r="CD92" i="1"/>
  <c r="CD102" i="1"/>
  <c r="CD93" i="1"/>
  <c r="CD96" i="1"/>
  <c r="CD101" i="1"/>
  <c r="CD100" i="1"/>
  <c r="CD98" i="1"/>
  <c r="CD97" i="1"/>
  <c r="CD94" i="1"/>
  <c r="CD99" i="1"/>
  <c r="CD95" i="1"/>
  <c r="V111" i="1"/>
  <c r="V95" i="1"/>
  <c r="CC7" i="1"/>
  <c r="CC6" i="1"/>
  <c r="CC15" i="1"/>
  <c r="CC16" i="1"/>
  <c r="CC14" i="1"/>
  <c r="CC9" i="1"/>
  <c r="CC13" i="1"/>
  <c r="CC8" i="1"/>
  <c r="CC12" i="1"/>
  <c r="CC11" i="1"/>
  <c r="CC10" i="1"/>
  <c r="U29" i="1"/>
  <c r="U13" i="1"/>
  <c r="CA12" i="1"/>
  <c r="CB136" i="1"/>
  <c r="CB129" i="1"/>
  <c r="CB133" i="1"/>
  <c r="CB132" i="1"/>
  <c r="CB128" i="1"/>
  <c r="CB127" i="1"/>
  <c r="CW92" i="1"/>
  <c r="T101" i="1"/>
  <c r="CA10" i="1"/>
  <c r="CA9" i="1"/>
  <c r="CA14" i="1"/>
  <c r="CA11" i="1"/>
  <c r="CA15" i="1"/>
  <c r="S9" i="1"/>
  <c r="S13" i="1" s="1"/>
  <c r="CV6" i="1" s="1"/>
  <c r="CA6" i="1"/>
  <c r="S29" i="1"/>
  <c r="CA36" i="1" s="1"/>
  <c r="CA16" i="1"/>
  <c r="CA8" i="1"/>
  <c r="CA7" i="1"/>
  <c r="CW93" i="1"/>
  <c r="CA13" i="1"/>
  <c r="AT115" i="1"/>
  <c r="AR115" i="1"/>
  <c r="BI116" i="1" s="1"/>
  <c r="AZ115" i="1"/>
  <c r="AW115" i="1"/>
  <c r="AV115" i="1"/>
  <c r="AU115" i="1"/>
  <c r="V132" i="1"/>
  <c r="AV132" i="1" s="1"/>
  <c r="V140" i="1"/>
  <c r="AU81" i="1"/>
  <c r="AT81" i="1"/>
  <c r="T83" i="1" s="1"/>
  <c r="T87" i="1" s="1"/>
  <c r="AY81" i="1"/>
  <c r="Y83" i="1" s="1"/>
  <c r="AW81" i="1"/>
  <c r="W83" i="1" s="1"/>
  <c r="AZ81" i="1"/>
  <c r="AR183" i="1"/>
  <c r="BI184" i="1" s="1"/>
  <c r="U132" i="1"/>
  <c r="AU132" i="1" s="1"/>
  <c r="U140" i="1"/>
  <c r="W146" i="1"/>
  <c r="W162" i="1"/>
  <c r="T145" i="1"/>
  <c r="T129" i="1"/>
  <c r="AW109" i="1"/>
  <c r="AW119" i="1"/>
  <c r="AW117" i="1"/>
  <c r="AW118" i="1"/>
  <c r="AW110" i="1"/>
  <c r="AW111" i="1"/>
  <c r="AW112" i="1"/>
  <c r="AW113" i="1"/>
  <c r="W132" i="1"/>
  <c r="AW132" i="1" s="1"/>
  <c r="W140" i="1"/>
  <c r="X146" i="1"/>
  <c r="X162" i="1"/>
  <c r="AV109" i="1"/>
  <c r="AV119" i="1"/>
  <c r="AV117" i="1"/>
  <c r="AV118" i="1"/>
  <c r="AV110" i="1"/>
  <c r="AV111" i="1"/>
  <c r="AV112" i="1"/>
  <c r="AV113" i="1"/>
  <c r="T132" i="1"/>
  <c r="AT132" i="1" s="1"/>
  <c r="T140" i="1"/>
  <c r="AU109" i="1"/>
  <c r="AU119" i="1"/>
  <c r="AU117" i="1"/>
  <c r="AU118" i="1"/>
  <c r="AU110" i="1"/>
  <c r="AU111" i="1"/>
  <c r="AU112" i="1"/>
  <c r="AU113" i="1"/>
  <c r="AU114" i="1"/>
  <c r="AU33" i="1"/>
  <c r="AT33" i="1"/>
  <c r="AR33" i="1"/>
  <c r="AZ33" i="1"/>
  <c r="AY33" i="1"/>
  <c r="AW33" i="1"/>
  <c r="AZ126" i="1"/>
  <c r="AZ135" i="1"/>
  <c r="AZ136" i="1"/>
  <c r="AZ127" i="1"/>
  <c r="AZ128" i="1"/>
  <c r="AZ129" i="1"/>
  <c r="AZ130" i="1"/>
  <c r="AZ12" i="1"/>
  <c r="AY12" i="1"/>
  <c r="AW12" i="1"/>
  <c r="AV12" i="1"/>
  <c r="AU12" i="1"/>
  <c r="AT12" i="1"/>
  <c r="AR12" i="1"/>
  <c r="AV114" i="1"/>
  <c r="AT109" i="1"/>
  <c r="AT110" i="1"/>
  <c r="AT111" i="1"/>
  <c r="AT112" i="1"/>
  <c r="AT113" i="1"/>
  <c r="AR132" i="1"/>
  <c r="AZ132" i="1"/>
  <c r="AW114" i="1"/>
  <c r="AR64" i="1"/>
  <c r="BI65" i="1" s="1"/>
  <c r="AZ64" i="1"/>
  <c r="AY64" i="1"/>
  <c r="AV64" i="1"/>
  <c r="AT64" i="1"/>
  <c r="AW64" i="1"/>
  <c r="AU64" i="1"/>
  <c r="Z157" i="1"/>
  <c r="Z149" i="1"/>
  <c r="AZ149" i="1" s="1"/>
  <c r="AR166" i="1"/>
  <c r="S24" i="1"/>
  <c r="S12" i="1"/>
  <c r="AS7" i="1" s="1"/>
  <c r="AY100" i="1"/>
  <c r="AY101" i="1"/>
  <c r="AY92" i="1"/>
  <c r="AY102" i="1"/>
  <c r="AY93" i="1"/>
  <c r="AY94" i="1"/>
  <c r="AY95" i="1"/>
  <c r="AY96" i="1"/>
  <c r="AR149" i="1"/>
  <c r="AY98" i="1"/>
  <c r="AU98" i="1"/>
  <c r="AT98" i="1"/>
  <c r="AZ98" i="1"/>
  <c r="Y123" i="1"/>
  <c r="Y115" i="1"/>
  <c r="AY115" i="1" s="1"/>
  <c r="BK133" i="1"/>
  <c r="BK131" i="1"/>
  <c r="BK128" i="1"/>
  <c r="T143" i="1"/>
  <c r="T127" i="1"/>
  <c r="BK130" i="1"/>
  <c r="BK136" i="1"/>
  <c r="BK132" i="1"/>
  <c r="BK127" i="1"/>
  <c r="BK129" i="1"/>
  <c r="BK135" i="1"/>
  <c r="BK126" i="1"/>
  <c r="BK134" i="1"/>
  <c r="BJ117" i="1"/>
  <c r="BJ116" i="1"/>
  <c r="BJ111" i="1"/>
  <c r="BJ118" i="1"/>
  <c r="S110" i="1"/>
  <c r="BJ113" i="1"/>
  <c r="BJ115" i="1"/>
  <c r="BJ110" i="1"/>
  <c r="S126" i="1"/>
  <c r="BJ109" i="1"/>
  <c r="BJ112" i="1"/>
  <c r="BJ119" i="1"/>
  <c r="BJ114" i="1"/>
  <c r="X140" i="1"/>
  <c r="Z118" i="1" l="1"/>
  <c r="CH153" i="1"/>
  <c r="CB130" i="1"/>
  <c r="CB134" i="1"/>
  <c r="CB126" i="1"/>
  <c r="CB131" i="1"/>
  <c r="AG86" i="1"/>
  <c r="Z162" i="1"/>
  <c r="CH164" i="1" s="1"/>
  <c r="Z117" i="1"/>
  <c r="DC110" i="1"/>
  <c r="CH144" i="1"/>
  <c r="CH150" i="1"/>
  <c r="CH147" i="1"/>
  <c r="Z144" i="1"/>
  <c r="BQ148" i="1"/>
  <c r="D106" i="1"/>
  <c r="D76" i="1" s="1"/>
  <c r="J105" i="1"/>
  <c r="BQ145" i="1"/>
  <c r="BQ151" i="1"/>
  <c r="DC109" i="1"/>
  <c r="BH167" i="1"/>
  <c r="BI167" i="1"/>
  <c r="BI34" i="1"/>
  <c r="AX34" i="1"/>
  <c r="BI13" i="1"/>
  <c r="AX13" i="1"/>
  <c r="AX65" i="1"/>
  <c r="BQ146" i="1"/>
  <c r="BQ149" i="1"/>
  <c r="BQ153" i="1"/>
  <c r="BH150" i="1"/>
  <c r="BI150" i="1"/>
  <c r="BH133" i="1"/>
  <c r="BI133" i="1"/>
  <c r="CG152" i="1"/>
  <c r="W100" i="1"/>
  <c r="Z160" i="1"/>
  <c r="BQ169" i="1" s="1"/>
  <c r="BQ143" i="1"/>
  <c r="BQ147" i="1"/>
  <c r="BQ144" i="1"/>
  <c r="BQ150" i="1"/>
  <c r="CG149" i="1"/>
  <c r="CG145" i="1"/>
  <c r="Y162" i="1"/>
  <c r="CG163" i="1" s="1"/>
  <c r="Z146" i="1"/>
  <c r="CG147" i="1"/>
  <c r="CG150" i="1"/>
  <c r="CG143" i="1"/>
  <c r="CH152" i="1"/>
  <c r="CH149" i="1"/>
  <c r="CH143" i="1"/>
  <c r="CH146" i="1"/>
  <c r="Z104" i="1"/>
  <c r="Y146" i="1"/>
  <c r="CG148" i="1"/>
  <c r="CG146" i="1"/>
  <c r="CG151" i="1"/>
  <c r="CG153" i="1"/>
  <c r="CC17" i="1"/>
  <c r="U16" i="1" s="1"/>
  <c r="BH116" i="1"/>
  <c r="V84" i="1"/>
  <c r="AX85" i="1"/>
  <c r="AX83" i="1"/>
  <c r="AX75" i="1"/>
  <c r="AX84" i="1"/>
  <c r="AX76" i="1"/>
  <c r="AX78" i="1"/>
  <c r="AX79" i="1"/>
  <c r="AX80" i="1"/>
  <c r="AG100" i="1"/>
  <c r="AG104" i="1" s="1"/>
  <c r="BH65" i="1"/>
  <c r="BG65" i="1"/>
  <c r="AT13" i="1"/>
  <c r="BH13" i="1"/>
  <c r="BG13" i="1"/>
  <c r="BH34" i="1"/>
  <c r="BG34" i="1"/>
  <c r="AG118" i="1"/>
  <c r="DJ110" i="1"/>
  <c r="DJ109" i="1"/>
  <c r="CO120" i="1"/>
  <c r="AG119" i="1" s="1"/>
  <c r="DJ126" i="1"/>
  <c r="CO137" i="1"/>
  <c r="AG136" i="1" s="1"/>
  <c r="AG135" i="1"/>
  <c r="BG117" i="1"/>
  <c r="BG109" i="1"/>
  <c r="BG116" i="1"/>
  <c r="BG112" i="1"/>
  <c r="BG110" i="1"/>
  <c r="BG118" i="1"/>
  <c r="BG115" i="1"/>
  <c r="BG114" i="1"/>
  <c r="BG113" i="1"/>
  <c r="BG119" i="1"/>
  <c r="BG111" i="1"/>
  <c r="AG132" i="1"/>
  <c r="AG140" i="1"/>
  <c r="CY76" i="1"/>
  <c r="CD86" i="1"/>
  <c r="V85" i="1" s="1"/>
  <c r="V83" i="1"/>
  <c r="CP186" i="1"/>
  <c r="CP185" i="1"/>
  <c r="CP184" i="1"/>
  <c r="CP183" i="1"/>
  <c r="CP182" i="1"/>
  <c r="CP181" i="1"/>
  <c r="CP180" i="1"/>
  <c r="CP179" i="1"/>
  <c r="CP178" i="1"/>
  <c r="AH180" i="1"/>
  <c r="CP177" i="1"/>
  <c r="CP187" i="1"/>
  <c r="BH179" i="1"/>
  <c r="BH178" i="1"/>
  <c r="BH177" i="1"/>
  <c r="BH181" i="1"/>
  <c r="BH187" i="1"/>
  <c r="BH186" i="1"/>
  <c r="BH184" i="1"/>
  <c r="BH185" i="1"/>
  <c r="BH183" i="1"/>
  <c r="BH182" i="1"/>
  <c r="BH180" i="1"/>
  <c r="BX161" i="1"/>
  <c r="BX160" i="1"/>
  <c r="AG161" i="1"/>
  <c r="BX170" i="1"/>
  <c r="BX169" i="1"/>
  <c r="BX168" i="1"/>
  <c r="BX164" i="1"/>
  <c r="BX167" i="1"/>
  <c r="BX166" i="1"/>
  <c r="BX162" i="1"/>
  <c r="BX165" i="1"/>
  <c r="BX163" i="1"/>
  <c r="AG177" i="1"/>
  <c r="AG163" i="1"/>
  <c r="CO170" i="1"/>
  <c r="CO169" i="1"/>
  <c r="CO168" i="1"/>
  <c r="CO167" i="1"/>
  <c r="CO166" i="1"/>
  <c r="CO165" i="1"/>
  <c r="AG179" i="1"/>
  <c r="CO164" i="1"/>
  <c r="CO163" i="1"/>
  <c r="CO161" i="1"/>
  <c r="CO162" i="1"/>
  <c r="CO160" i="1"/>
  <c r="BV166" i="1"/>
  <c r="BV165" i="1"/>
  <c r="BV164" i="1"/>
  <c r="BV167" i="1"/>
  <c r="BV163" i="1"/>
  <c r="BV162" i="1"/>
  <c r="BV161" i="1"/>
  <c r="BV160" i="1"/>
  <c r="BV170" i="1"/>
  <c r="BV169" i="1"/>
  <c r="BV168" i="1"/>
  <c r="Y87" i="1"/>
  <c r="Y86" i="1" s="1"/>
  <c r="W87" i="1"/>
  <c r="AF174" i="1"/>
  <c r="BW178" i="1"/>
  <c r="BW177" i="1"/>
  <c r="BW187" i="1"/>
  <c r="BW185" i="1"/>
  <c r="BW186" i="1"/>
  <c r="BW184" i="1"/>
  <c r="AF178" i="1"/>
  <c r="BW183" i="1"/>
  <c r="BW182" i="1"/>
  <c r="BW181" i="1"/>
  <c r="BW180" i="1"/>
  <c r="BW179" i="1"/>
  <c r="BL112" i="1"/>
  <c r="BL119" i="1"/>
  <c r="BL114" i="1"/>
  <c r="BL109" i="1"/>
  <c r="BL116" i="1"/>
  <c r="BL110" i="1"/>
  <c r="BL111" i="1"/>
  <c r="BL118" i="1"/>
  <c r="BL117" i="1"/>
  <c r="U110" i="1"/>
  <c r="BL113" i="1"/>
  <c r="BL115" i="1"/>
  <c r="U126" i="1"/>
  <c r="AE177" i="1"/>
  <c r="AE161" i="1"/>
  <c r="AE174" i="1"/>
  <c r="BU178" i="1"/>
  <c r="BU177" i="1"/>
  <c r="BU179" i="1"/>
  <c r="BU187" i="1"/>
  <c r="BU186" i="1"/>
  <c r="AD178" i="1"/>
  <c r="BU185" i="1"/>
  <c r="BU184" i="1"/>
  <c r="BU183" i="1"/>
  <c r="BU182" i="1"/>
  <c r="BU181" i="1"/>
  <c r="BU180" i="1"/>
  <c r="AD174" i="1"/>
  <c r="AC174" i="1"/>
  <c r="BT184" i="1"/>
  <c r="BT183" i="1"/>
  <c r="BT182" i="1"/>
  <c r="BT181" i="1"/>
  <c r="BT180" i="1"/>
  <c r="BT179" i="1"/>
  <c r="BT178" i="1"/>
  <c r="BT177" i="1"/>
  <c r="BT186" i="1"/>
  <c r="BT187" i="1"/>
  <c r="AC178" i="1"/>
  <c r="BT185" i="1"/>
  <c r="BS146" i="1"/>
  <c r="AB160" i="1"/>
  <c r="BS145" i="1"/>
  <c r="AB144" i="1"/>
  <c r="BS144" i="1"/>
  <c r="BS148" i="1"/>
  <c r="BS143" i="1"/>
  <c r="BS150" i="1"/>
  <c r="BS147" i="1"/>
  <c r="BS153" i="1"/>
  <c r="BS152" i="1"/>
  <c r="BS149" i="1"/>
  <c r="BS151" i="1"/>
  <c r="AV34" i="1"/>
  <c r="DB92" i="1"/>
  <c r="V99" i="1"/>
  <c r="V100" i="1" s="1"/>
  <c r="Y100" i="1"/>
  <c r="AB174" i="1"/>
  <c r="DC126" i="1"/>
  <c r="Z135" i="1"/>
  <c r="CH137" i="1"/>
  <c r="Z136" i="1" s="1"/>
  <c r="T133" i="1"/>
  <c r="AA177" i="1"/>
  <c r="BR170" i="1"/>
  <c r="BR169" i="1"/>
  <c r="BR168" i="1"/>
  <c r="AA161" i="1"/>
  <c r="BR167" i="1"/>
  <c r="BR166" i="1"/>
  <c r="BR165" i="1"/>
  <c r="BR164" i="1"/>
  <c r="BR163" i="1"/>
  <c r="BR162" i="1"/>
  <c r="BR161" i="1"/>
  <c r="BR160" i="1"/>
  <c r="AA174" i="1"/>
  <c r="BP112" i="1"/>
  <c r="BP111" i="1"/>
  <c r="BP110" i="1"/>
  <c r="BP109" i="1"/>
  <c r="BP115" i="1"/>
  <c r="BP113" i="1"/>
  <c r="BP119" i="1"/>
  <c r="BP114" i="1"/>
  <c r="BP118" i="1"/>
  <c r="BP117" i="1"/>
  <c r="BP116" i="1"/>
  <c r="Y110" i="1"/>
  <c r="Y116" i="1" s="1"/>
  <c r="DB109" i="1" s="1"/>
  <c r="Y126" i="1"/>
  <c r="BM114" i="1"/>
  <c r="V110" i="1"/>
  <c r="BM116" i="1"/>
  <c r="BM118" i="1"/>
  <c r="BM117" i="1"/>
  <c r="BM109" i="1"/>
  <c r="V126" i="1"/>
  <c r="BM111" i="1"/>
  <c r="BM119" i="1"/>
  <c r="BM113" i="1"/>
  <c r="BM115" i="1"/>
  <c r="BM110" i="1"/>
  <c r="BM112" i="1"/>
  <c r="CG103" i="1"/>
  <c r="Y102" i="1" s="1"/>
  <c r="Y101" i="1"/>
  <c r="DA76" i="1"/>
  <c r="DA75" i="1"/>
  <c r="CF86" i="1"/>
  <c r="X85" i="1" s="1"/>
  <c r="X84" i="1"/>
  <c r="X107" i="1"/>
  <c r="X98" i="1"/>
  <c r="DC127" i="1"/>
  <c r="CZ92" i="1"/>
  <c r="CZ93" i="1"/>
  <c r="CE103" i="1"/>
  <c r="W102" i="1" s="1"/>
  <c r="W101" i="1"/>
  <c r="BO96" i="1"/>
  <c r="BO100" i="1"/>
  <c r="BO99" i="1"/>
  <c r="BO98" i="1"/>
  <c r="BO93" i="1"/>
  <c r="BO101" i="1"/>
  <c r="BO92" i="1"/>
  <c r="BO95" i="1"/>
  <c r="X109" i="1"/>
  <c r="BO102" i="1"/>
  <c r="BO97" i="1"/>
  <c r="X93" i="1"/>
  <c r="X99" i="1" s="1"/>
  <c r="BO94" i="1"/>
  <c r="BN116" i="1"/>
  <c r="BN118" i="1"/>
  <c r="BN113" i="1"/>
  <c r="BN119" i="1"/>
  <c r="BN111" i="1"/>
  <c r="W126" i="1"/>
  <c r="BN117" i="1"/>
  <c r="BN110" i="1"/>
  <c r="BN115" i="1"/>
  <c r="BN109" i="1"/>
  <c r="BN112" i="1"/>
  <c r="BN114" i="1"/>
  <c r="W110" i="1"/>
  <c r="W116" i="1" s="1"/>
  <c r="CW109" i="1"/>
  <c r="CW110" i="1"/>
  <c r="T118" i="1"/>
  <c r="T100" i="1"/>
  <c r="T104" i="1" s="1"/>
  <c r="CF165" i="1"/>
  <c r="CF164" i="1"/>
  <c r="CF163" i="1"/>
  <c r="CF162" i="1"/>
  <c r="CF161" i="1"/>
  <c r="CF160" i="1"/>
  <c r="CF170" i="1"/>
  <c r="CF166" i="1"/>
  <c r="CF169" i="1"/>
  <c r="CF168" i="1"/>
  <c r="CF167" i="1"/>
  <c r="CE164" i="1"/>
  <c r="CE161" i="1"/>
  <c r="CE160" i="1"/>
  <c r="CE170" i="1"/>
  <c r="CE169" i="1"/>
  <c r="CE165" i="1"/>
  <c r="CE163" i="1"/>
  <c r="CE168" i="1"/>
  <c r="CE167" i="1"/>
  <c r="CE162" i="1"/>
  <c r="CE166" i="1"/>
  <c r="CD110" i="1"/>
  <c r="CD114" i="1"/>
  <c r="CD109" i="1"/>
  <c r="CD119" i="1"/>
  <c r="CD116" i="1"/>
  <c r="CD115" i="1"/>
  <c r="CD112" i="1"/>
  <c r="CD118" i="1"/>
  <c r="CD113" i="1"/>
  <c r="CD111" i="1"/>
  <c r="CD117" i="1"/>
  <c r="V112" i="1"/>
  <c r="V128" i="1"/>
  <c r="CC29" i="1"/>
  <c r="CC28" i="1"/>
  <c r="CC27" i="1"/>
  <c r="CC37" i="1"/>
  <c r="CC36" i="1"/>
  <c r="CC35" i="1"/>
  <c r="CC34" i="1"/>
  <c r="CC30" i="1"/>
  <c r="CC33" i="1"/>
  <c r="CC31" i="1"/>
  <c r="CC32" i="1"/>
  <c r="U15" i="1"/>
  <c r="CX6" i="1"/>
  <c r="CX7" i="1"/>
  <c r="U60" i="1"/>
  <c r="U30" i="1"/>
  <c r="U34" i="1" s="1"/>
  <c r="CB153" i="1"/>
  <c r="CB152" i="1"/>
  <c r="CB151" i="1"/>
  <c r="CB150" i="1"/>
  <c r="CB149" i="1"/>
  <c r="CB146" i="1"/>
  <c r="CB148" i="1"/>
  <c r="CB147" i="1"/>
  <c r="CB145" i="1"/>
  <c r="CB144" i="1"/>
  <c r="CB143" i="1"/>
  <c r="CA35" i="1"/>
  <c r="S60" i="1"/>
  <c r="CA34" i="1"/>
  <c r="CA31" i="1"/>
  <c r="CA30" i="1"/>
  <c r="CA28" i="1"/>
  <c r="CA29" i="1"/>
  <c r="CA32" i="1"/>
  <c r="S30" i="1"/>
  <c r="S34" i="1" s="1"/>
  <c r="CA37" i="1"/>
  <c r="CA27" i="1"/>
  <c r="CA33" i="1"/>
  <c r="AS6" i="1"/>
  <c r="AJ12" i="1"/>
  <c r="AX8" i="1"/>
  <c r="AS8" i="1"/>
  <c r="AS9" i="1"/>
  <c r="AS10" i="1"/>
  <c r="AS11" i="1"/>
  <c r="Z166" i="1"/>
  <c r="AZ167" i="1" s="1"/>
  <c r="Z174" i="1"/>
  <c r="AW136" i="1"/>
  <c r="AW126" i="1"/>
  <c r="AW135" i="1"/>
  <c r="AW127" i="1"/>
  <c r="AW128" i="1"/>
  <c r="AW129" i="1"/>
  <c r="AW130" i="1"/>
  <c r="AW131" i="1"/>
  <c r="AY119" i="1"/>
  <c r="AY117" i="1"/>
  <c r="AY118" i="1"/>
  <c r="AY109" i="1"/>
  <c r="AY110" i="1"/>
  <c r="AY111" i="1"/>
  <c r="AY112" i="1"/>
  <c r="AY113" i="1"/>
  <c r="AY114" i="1"/>
  <c r="CA17" i="1"/>
  <c r="S16" i="1" s="1"/>
  <c r="S15" i="1"/>
  <c r="CV7" i="1"/>
  <c r="AJ14" i="1"/>
  <c r="AZ65" i="1"/>
  <c r="AY65" i="1"/>
  <c r="AT66" i="1"/>
  <c r="AW65" i="1"/>
  <c r="AV65" i="1"/>
  <c r="AR66" i="1"/>
  <c r="AU65" i="1"/>
  <c r="AT65" i="1"/>
  <c r="AR65" i="1"/>
  <c r="AZ133" i="1"/>
  <c r="Z134" i="1" s="1"/>
  <c r="AW133" i="1"/>
  <c r="AV133" i="1"/>
  <c r="AU133" i="1"/>
  <c r="AT133" i="1"/>
  <c r="AR133" i="1"/>
  <c r="X179" i="1"/>
  <c r="X163" i="1"/>
  <c r="T160" i="1"/>
  <c r="BK153" i="1"/>
  <c r="BK151" i="1"/>
  <c r="BK149" i="1"/>
  <c r="BK152" i="1"/>
  <c r="BK145" i="1"/>
  <c r="T144" i="1"/>
  <c r="BK147" i="1"/>
  <c r="BK144" i="1"/>
  <c r="BK148" i="1"/>
  <c r="BK143" i="1"/>
  <c r="BK146" i="1"/>
  <c r="BK150" i="1"/>
  <c r="S55" i="1"/>
  <c r="S33" i="1"/>
  <c r="AS34" i="1" s="1"/>
  <c r="T146" i="1"/>
  <c r="T162" i="1"/>
  <c r="Y132" i="1"/>
  <c r="AY133" i="1" s="1"/>
  <c r="Y140" i="1"/>
  <c r="AZ116" i="1"/>
  <c r="AY116" i="1"/>
  <c r="AW116" i="1"/>
  <c r="AV116" i="1"/>
  <c r="AU116" i="1"/>
  <c r="AT116" i="1"/>
  <c r="T117" i="1" s="1"/>
  <c r="W157" i="1"/>
  <c r="W149" i="1"/>
  <c r="AW150" i="1" s="1"/>
  <c r="AS12" i="1"/>
  <c r="W179" i="1"/>
  <c r="W163" i="1"/>
  <c r="AR167" i="1"/>
  <c r="V149" i="1"/>
  <c r="AV150" i="1" s="1"/>
  <c r="V157" i="1"/>
  <c r="AT126" i="1"/>
  <c r="AT127" i="1"/>
  <c r="AT128" i="1"/>
  <c r="AT129" i="1"/>
  <c r="AT130" i="1"/>
  <c r="AT131" i="1"/>
  <c r="AZ143" i="1"/>
  <c r="AZ144" i="1"/>
  <c r="AZ145" i="1"/>
  <c r="AZ146" i="1"/>
  <c r="AZ147" i="1"/>
  <c r="AZ148" i="1"/>
  <c r="U149" i="1"/>
  <c r="AU150" i="1" s="1"/>
  <c r="U157" i="1"/>
  <c r="AV136" i="1"/>
  <c r="AV126" i="1"/>
  <c r="AV135" i="1"/>
  <c r="AV127" i="1"/>
  <c r="AV128" i="1"/>
  <c r="AV129" i="1"/>
  <c r="AV130" i="1"/>
  <c r="AV131" i="1"/>
  <c r="BJ133" i="1"/>
  <c r="BJ131" i="1"/>
  <c r="BJ128" i="1"/>
  <c r="S143" i="1"/>
  <c r="BJ130" i="1"/>
  <c r="BJ136" i="1"/>
  <c r="BJ132" i="1"/>
  <c r="BJ127" i="1"/>
  <c r="BJ134" i="1"/>
  <c r="BJ129" i="1"/>
  <c r="BJ135" i="1"/>
  <c r="BJ126" i="1"/>
  <c r="S127" i="1"/>
  <c r="AZ150" i="1"/>
  <c r="AR150" i="1"/>
  <c r="AZ13" i="1"/>
  <c r="AY13" i="1"/>
  <c r="AW13" i="1"/>
  <c r="AV13" i="1"/>
  <c r="AU13" i="1"/>
  <c r="AR13" i="1"/>
  <c r="BI14" i="1" s="1"/>
  <c r="AS13" i="1"/>
  <c r="AZ34" i="1"/>
  <c r="AY34" i="1"/>
  <c r="AW34" i="1"/>
  <c r="AU34" i="1"/>
  <c r="AT34" i="1"/>
  <c r="AR34" i="1"/>
  <c r="AU136" i="1"/>
  <c r="AU135" i="1"/>
  <c r="AU126" i="1"/>
  <c r="AU127" i="1"/>
  <c r="AU128" i="1"/>
  <c r="AU129" i="1"/>
  <c r="AU130" i="1"/>
  <c r="AU131" i="1"/>
  <c r="X157" i="1"/>
  <c r="T149" i="1"/>
  <c r="AT150" i="1" s="1"/>
  <c r="T157" i="1"/>
  <c r="CH161" i="1" l="1"/>
  <c r="Z179" i="1"/>
  <c r="CH165" i="1"/>
  <c r="CH170" i="1"/>
  <c r="CH162" i="1"/>
  <c r="CB137" i="1"/>
  <c r="T136" i="1" s="1"/>
  <c r="CH160" i="1"/>
  <c r="CH163" i="1"/>
  <c r="CH169" i="1"/>
  <c r="CH166" i="1"/>
  <c r="Z163" i="1"/>
  <c r="CH168" i="1"/>
  <c r="CH167" i="1"/>
  <c r="Z150" i="1"/>
  <c r="DC144" i="1" s="1"/>
  <c r="Z121" i="1"/>
  <c r="BQ166" i="1"/>
  <c r="BQ160" i="1"/>
  <c r="BQ161" i="1"/>
  <c r="CG160" i="1"/>
  <c r="D107" i="1"/>
  <c r="D77" i="1" s="1"/>
  <c r="J106" i="1"/>
  <c r="Z177" i="1"/>
  <c r="Z178" i="1" s="1"/>
  <c r="BQ164" i="1"/>
  <c r="BQ162" i="1"/>
  <c r="BQ170" i="1"/>
  <c r="AG103" i="1"/>
  <c r="CG168" i="1"/>
  <c r="BH168" i="1"/>
  <c r="BI168" i="1"/>
  <c r="BI67" i="1"/>
  <c r="AX67" i="1"/>
  <c r="BI35" i="1"/>
  <c r="AX35" i="1"/>
  <c r="BI66" i="1"/>
  <c r="AX66" i="1"/>
  <c r="BH151" i="1"/>
  <c r="BI151" i="1"/>
  <c r="BH134" i="1"/>
  <c r="BI134" i="1"/>
  <c r="Y179" i="1"/>
  <c r="CG181" i="1" s="1"/>
  <c r="CG166" i="1"/>
  <c r="CG170" i="1"/>
  <c r="CG162" i="1"/>
  <c r="Z161" i="1"/>
  <c r="Z167" i="1" s="1"/>
  <c r="DC160" i="1" s="1"/>
  <c r="BQ163" i="1"/>
  <c r="BQ165" i="1"/>
  <c r="BQ167" i="1"/>
  <c r="BQ168" i="1"/>
  <c r="Y163" i="1"/>
  <c r="CG165" i="1"/>
  <c r="CG167" i="1"/>
  <c r="CG169" i="1"/>
  <c r="CG164" i="1"/>
  <c r="CG161" i="1"/>
  <c r="AX101" i="1"/>
  <c r="AX102" i="1"/>
  <c r="AX100" i="1"/>
  <c r="AX92" i="1"/>
  <c r="AX93" i="1"/>
  <c r="AX95" i="1"/>
  <c r="AX96" i="1"/>
  <c r="AX97" i="1"/>
  <c r="AX98" i="1"/>
  <c r="BH35" i="1"/>
  <c r="BG35" i="1"/>
  <c r="AG35" i="1" s="1"/>
  <c r="AG39" i="1" s="1"/>
  <c r="BH66" i="1"/>
  <c r="BG66" i="1"/>
  <c r="BH14" i="1"/>
  <c r="BG14" i="1"/>
  <c r="BH67" i="1"/>
  <c r="BG67" i="1"/>
  <c r="AG117" i="1"/>
  <c r="AG121" i="1" s="1"/>
  <c r="X83" i="1"/>
  <c r="X87" i="1" s="1"/>
  <c r="X86" i="1" s="1"/>
  <c r="V87" i="1"/>
  <c r="V86" i="1" s="1"/>
  <c r="AG149" i="1"/>
  <c r="AG157" i="1"/>
  <c r="AG167" i="1" s="1"/>
  <c r="DJ160" i="1" s="1"/>
  <c r="BG127" i="1"/>
  <c r="BG126" i="1"/>
  <c r="BG134" i="1"/>
  <c r="BG135" i="1"/>
  <c r="BG133" i="1"/>
  <c r="BG136" i="1"/>
  <c r="BG132" i="1"/>
  <c r="BG130" i="1"/>
  <c r="BG128" i="1"/>
  <c r="BG131" i="1"/>
  <c r="BG129" i="1"/>
  <c r="AG150" i="1"/>
  <c r="T121" i="1"/>
  <c r="BX180" i="1"/>
  <c r="BX179" i="1"/>
  <c r="BX178" i="1"/>
  <c r="BX187" i="1"/>
  <c r="BX186" i="1"/>
  <c r="BX185" i="1"/>
  <c r="BX184" i="1"/>
  <c r="BX183" i="1"/>
  <c r="BX182" i="1"/>
  <c r="BX177" i="1"/>
  <c r="AG178" i="1"/>
  <c r="BX181" i="1"/>
  <c r="CO186" i="1"/>
  <c r="CO187" i="1"/>
  <c r="CO185" i="1"/>
  <c r="CO184" i="1"/>
  <c r="CO183" i="1"/>
  <c r="CO179" i="1"/>
  <c r="CO182" i="1"/>
  <c r="CO181" i="1"/>
  <c r="AG180" i="1"/>
  <c r="CO180" i="1"/>
  <c r="CO178" i="1"/>
  <c r="CO177" i="1"/>
  <c r="AE178" i="1"/>
  <c r="BV184" i="1"/>
  <c r="BV183" i="1"/>
  <c r="BV182" i="1"/>
  <c r="BV181" i="1"/>
  <c r="BV179" i="1"/>
  <c r="BV180" i="1"/>
  <c r="BV178" i="1"/>
  <c r="BV177" i="1"/>
  <c r="BV185" i="1"/>
  <c r="BV187" i="1"/>
  <c r="BV186" i="1"/>
  <c r="Z138" i="1"/>
  <c r="W104" i="1"/>
  <c r="Z103" i="1" s="1"/>
  <c r="Y104" i="1"/>
  <c r="Y103" i="1" s="1"/>
  <c r="BL132" i="1"/>
  <c r="BL128" i="1"/>
  <c r="BL127" i="1"/>
  <c r="BL134" i="1"/>
  <c r="U127" i="1"/>
  <c r="BL130" i="1"/>
  <c r="BL135" i="1"/>
  <c r="BL129" i="1"/>
  <c r="BL131" i="1"/>
  <c r="BL126" i="1"/>
  <c r="BL133" i="1"/>
  <c r="U143" i="1"/>
  <c r="BL136" i="1"/>
  <c r="CW127" i="1"/>
  <c r="T135" i="1"/>
  <c r="CW126" i="1"/>
  <c r="DB110" i="1"/>
  <c r="T150" i="1"/>
  <c r="CB154" i="1" s="1"/>
  <c r="T153" i="1" s="1"/>
  <c r="V101" i="1"/>
  <c r="CY93" i="1"/>
  <c r="CY92" i="1"/>
  <c r="CD103" i="1"/>
  <c r="V102" i="1" s="1"/>
  <c r="Y117" i="1"/>
  <c r="AV35" i="1"/>
  <c r="V35" i="1" s="1"/>
  <c r="V39" i="1" s="1"/>
  <c r="BS164" i="1"/>
  <c r="BS163" i="1"/>
  <c r="BS166" i="1"/>
  <c r="BS167" i="1"/>
  <c r="BS162" i="1"/>
  <c r="AB177" i="1"/>
  <c r="BS161" i="1"/>
  <c r="AB161" i="1"/>
  <c r="BS160" i="1"/>
  <c r="BS168" i="1"/>
  <c r="BS165" i="1"/>
  <c r="BS170" i="1"/>
  <c r="BS169" i="1"/>
  <c r="V116" i="1"/>
  <c r="V117" i="1" s="1"/>
  <c r="Z180" i="1"/>
  <c r="CH184" i="1"/>
  <c r="CH183" i="1"/>
  <c r="CH181" i="1"/>
  <c r="CH182" i="1"/>
  <c r="CH180" i="1"/>
  <c r="CH187" i="1"/>
  <c r="CH179" i="1"/>
  <c r="CH178" i="1"/>
  <c r="CH177" i="1"/>
  <c r="CH185" i="1"/>
  <c r="CH186" i="1"/>
  <c r="BR187" i="1"/>
  <c r="BR186" i="1"/>
  <c r="BR185" i="1"/>
  <c r="BR184" i="1"/>
  <c r="BR177" i="1"/>
  <c r="BR183" i="1"/>
  <c r="BR182" i="1"/>
  <c r="BR181" i="1"/>
  <c r="BR180" i="1"/>
  <c r="BR179" i="1"/>
  <c r="BR178" i="1"/>
  <c r="AA178" i="1"/>
  <c r="Z86" i="1"/>
  <c r="BN128" i="1"/>
  <c r="BN133" i="1"/>
  <c r="W143" i="1"/>
  <c r="W127" i="1"/>
  <c r="W133" i="1" s="1"/>
  <c r="BN130" i="1"/>
  <c r="BN127" i="1"/>
  <c r="BN136" i="1"/>
  <c r="BN134" i="1"/>
  <c r="BN132" i="1"/>
  <c r="BN131" i="1"/>
  <c r="BN126" i="1"/>
  <c r="BN135" i="1"/>
  <c r="BN129" i="1"/>
  <c r="CG120" i="1"/>
  <c r="Y119" i="1" s="1"/>
  <c r="Y118" i="1"/>
  <c r="X110" i="1"/>
  <c r="X116" i="1" s="1"/>
  <c r="BO118" i="1"/>
  <c r="BO112" i="1"/>
  <c r="BO113" i="1"/>
  <c r="BO110" i="1"/>
  <c r="BO116" i="1"/>
  <c r="X126" i="1"/>
  <c r="BO115" i="1"/>
  <c r="BO109" i="1"/>
  <c r="BO114" i="1"/>
  <c r="BO117" i="1"/>
  <c r="BO119" i="1"/>
  <c r="BO111" i="1"/>
  <c r="BM126" i="1"/>
  <c r="BM128" i="1"/>
  <c r="BM129" i="1"/>
  <c r="BM127" i="1"/>
  <c r="V143" i="1"/>
  <c r="V127" i="1"/>
  <c r="BM133" i="1"/>
  <c r="BM130" i="1"/>
  <c r="BM136" i="1"/>
  <c r="BM132" i="1"/>
  <c r="BM134" i="1"/>
  <c r="BM135" i="1"/>
  <c r="BM131" i="1"/>
  <c r="CZ110" i="1"/>
  <c r="CZ109" i="1"/>
  <c r="CE120" i="1"/>
  <c r="W119" i="1" s="1"/>
  <c r="W118" i="1"/>
  <c r="X124" i="1"/>
  <c r="X115" i="1"/>
  <c r="W117" i="1"/>
  <c r="CA38" i="1"/>
  <c r="S37" i="1" s="1"/>
  <c r="DA92" i="1"/>
  <c r="X101" i="1"/>
  <c r="CF103" i="1"/>
  <c r="X102" i="1" s="1"/>
  <c r="DA93" i="1"/>
  <c r="BP130" i="1"/>
  <c r="BP129" i="1"/>
  <c r="BP128" i="1"/>
  <c r="BP131" i="1"/>
  <c r="BP127" i="1"/>
  <c r="BP126" i="1"/>
  <c r="BP136" i="1"/>
  <c r="BP135" i="1"/>
  <c r="BP134" i="1"/>
  <c r="BP133" i="1"/>
  <c r="BP132" i="1"/>
  <c r="Y143" i="1"/>
  <c r="Y127" i="1"/>
  <c r="Y133" i="1" s="1"/>
  <c r="DB127" i="1" s="1"/>
  <c r="W180" i="1"/>
  <c r="CE182" i="1"/>
  <c r="CE179" i="1"/>
  <c r="CE178" i="1"/>
  <c r="CE177" i="1"/>
  <c r="CE187" i="1"/>
  <c r="CE186" i="1"/>
  <c r="CE185" i="1"/>
  <c r="CE183" i="1"/>
  <c r="CE184" i="1"/>
  <c r="CE181" i="1"/>
  <c r="CE180" i="1"/>
  <c r="X180" i="1"/>
  <c r="CF182" i="1"/>
  <c r="CF181" i="1"/>
  <c r="CF179" i="1"/>
  <c r="CF178" i="1"/>
  <c r="CF177" i="1"/>
  <c r="CF187" i="1"/>
  <c r="CF180" i="1"/>
  <c r="CF186" i="1"/>
  <c r="CF183" i="1"/>
  <c r="CF185" i="1"/>
  <c r="CF184" i="1"/>
  <c r="CC38" i="1"/>
  <c r="U37" i="1" s="1"/>
  <c r="U36" i="1"/>
  <c r="CD128" i="1"/>
  <c r="CD131" i="1"/>
  <c r="CD127" i="1"/>
  <c r="CD126" i="1"/>
  <c r="CD136" i="1"/>
  <c r="CD133" i="1"/>
  <c r="CD135" i="1"/>
  <c r="CD134" i="1"/>
  <c r="CD132" i="1"/>
  <c r="CD130" i="1"/>
  <c r="CD129" i="1"/>
  <c r="V129" i="1"/>
  <c r="V145" i="1"/>
  <c r="CC61" i="1"/>
  <c r="CC60" i="1"/>
  <c r="CC59" i="1"/>
  <c r="CC58" i="1"/>
  <c r="CC68" i="1"/>
  <c r="CC67" i="1"/>
  <c r="CC66" i="1"/>
  <c r="CC63" i="1"/>
  <c r="CC65" i="1"/>
  <c r="CC62" i="1"/>
  <c r="CC64" i="1"/>
  <c r="CX28" i="1"/>
  <c r="CX27" i="1"/>
  <c r="U61" i="1"/>
  <c r="U65" i="1" s="1"/>
  <c r="U77" i="1"/>
  <c r="CB170" i="1"/>
  <c r="CB169" i="1"/>
  <c r="CB168" i="1"/>
  <c r="CB167" i="1"/>
  <c r="CB166" i="1"/>
  <c r="CB164" i="1"/>
  <c r="CB165" i="1"/>
  <c r="CB163" i="1"/>
  <c r="CB162" i="1"/>
  <c r="CB161" i="1"/>
  <c r="CB160" i="1"/>
  <c r="CA67" i="1"/>
  <c r="CA61" i="1"/>
  <c r="CA66" i="1"/>
  <c r="CA65" i="1"/>
  <c r="CA60" i="1"/>
  <c r="CA64" i="1"/>
  <c r="CA63" i="1"/>
  <c r="CA59" i="1"/>
  <c r="S77" i="1"/>
  <c r="S61" i="1"/>
  <c r="S65" i="1" s="1"/>
  <c r="CA58" i="1"/>
  <c r="CA62" i="1"/>
  <c r="CA68" i="1"/>
  <c r="AZ14" i="1"/>
  <c r="Z14" i="1" s="1"/>
  <c r="Z18" i="1" s="1"/>
  <c r="AT14" i="1"/>
  <c r="AS14" i="1"/>
  <c r="AY14" i="1"/>
  <c r="AX14" i="1"/>
  <c r="AW14" i="1"/>
  <c r="AV14" i="1"/>
  <c r="AR14" i="1"/>
  <c r="BI15" i="1" s="1"/>
  <c r="AU14" i="1"/>
  <c r="AY35" i="1"/>
  <c r="Y35" i="1" s="1"/>
  <c r="Y39" i="1" s="1"/>
  <c r="AW35" i="1"/>
  <c r="W35" i="1" s="1"/>
  <c r="W39" i="1" s="1"/>
  <c r="Z38" i="1" s="1"/>
  <c r="AT35" i="1"/>
  <c r="T35" i="1" s="1"/>
  <c r="T39" i="1" s="1"/>
  <c r="AZ35" i="1"/>
  <c r="AU35" i="1"/>
  <c r="U35" i="1" s="1"/>
  <c r="AS35" i="1"/>
  <c r="V174" i="1"/>
  <c r="V166" i="1"/>
  <c r="AZ168" i="1"/>
  <c r="Y157" i="1"/>
  <c r="Y149" i="1"/>
  <c r="AY151" i="1" s="1"/>
  <c r="BK170" i="1"/>
  <c r="BK166" i="1"/>
  <c r="BK161" i="1"/>
  <c r="BK169" i="1"/>
  <c r="BK165" i="1"/>
  <c r="BK167" i="1"/>
  <c r="T177" i="1"/>
  <c r="T161" i="1"/>
  <c r="BK160" i="1"/>
  <c r="BK162" i="1"/>
  <c r="BK163" i="1"/>
  <c r="BK168" i="1"/>
  <c r="BK164" i="1"/>
  <c r="X174" i="1"/>
  <c r="AV143" i="1"/>
  <c r="AV144" i="1"/>
  <c r="AV145" i="1"/>
  <c r="AV146" i="1"/>
  <c r="AV147" i="1"/>
  <c r="AV148" i="1"/>
  <c r="AV149" i="1"/>
  <c r="AY126" i="1"/>
  <c r="AY135" i="1"/>
  <c r="AY136" i="1"/>
  <c r="AY127" i="1"/>
  <c r="AY128" i="1"/>
  <c r="AY129" i="1"/>
  <c r="AY130" i="1"/>
  <c r="AY131" i="1"/>
  <c r="AY132" i="1"/>
  <c r="AZ151" i="1"/>
  <c r="AW151" i="1"/>
  <c r="AV151" i="1"/>
  <c r="AU151" i="1"/>
  <c r="AT151" i="1"/>
  <c r="AR151" i="1"/>
  <c r="T174" i="1"/>
  <c r="T166" i="1"/>
  <c r="AT168" i="1" s="1"/>
  <c r="T163" i="1"/>
  <c r="T179" i="1"/>
  <c r="BJ147" i="1"/>
  <c r="BJ152" i="1"/>
  <c r="BJ145" i="1"/>
  <c r="S144" i="1"/>
  <c r="BJ144" i="1"/>
  <c r="BJ148" i="1"/>
  <c r="BJ149" i="1"/>
  <c r="BJ143" i="1"/>
  <c r="S160" i="1"/>
  <c r="BJ146" i="1"/>
  <c r="BJ151" i="1"/>
  <c r="BJ153" i="1"/>
  <c r="BJ150" i="1"/>
  <c r="AW66" i="1"/>
  <c r="AV66" i="1"/>
  <c r="AU66" i="1"/>
  <c r="AZ66" i="1"/>
  <c r="Z66" i="1" s="1"/>
  <c r="Z70" i="1" s="1"/>
  <c r="AY66" i="1"/>
  <c r="AJ13" i="1"/>
  <c r="AW143" i="1"/>
  <c r="AW144" i="1"/>
  <c r="AW145" i="1"/>
  <c r="AW146" i="1"/>
  <c r="AW147" i="1"/>
  <c r="AW148" i="1"/>
  <c r="AW149" i="1"/>
  <c r="U174" i="1"/>
  <c r="U166" i="1"/>
  <c r="AT143" i="1"/>
  <c r="AT144" i="1"/>
  <c r="AT145" i="1"/>
  <c r="AT146" i="1"/>
  <c r="AT147" i="1"/>
  <c r="AT148" i="1"/>
  <c r="AT149" i="1"/>
  <c r="AU143" i="1"/>
  <c r="AU144" i="1"/>
  <c r="AU145" i="1"/>
  <c r="AU146" i="1"/>
  <c r="AU147" i="1"/>
  <c r="AU148" i="1"/>
  <c r="AU149" i="1"/>
  <c r="W174" i="1"/>
  <c r="W166" i="1"/>
  <c r="S36" i="1"/>
  <c r="CV28" i="1"/>
  <c r="CV27" i="1"/>
  <c r="AJ35" i="1"/>
  <c r="AZ134" i="1"/>
  <c r="AY134" i="1"/>
  <c r="AW134" i="1"/>
  <c r="AV134" i="1"/>
  <c r="AU134" i="1"/>
  <c r="AT134" i="1"/>
  <c r="T134" i="1" s="1"/>
  <c r="AJ33" i="1"/>
  <c r="AJ34" i="1" s="1"/>
  <c r="AS27" i="1"/>
  <c r="AS28" i="1"/>
  <c r="AX29" i="1" s="1"/>
  <c r="AS29" i="1"/>
  <c r="AS30" i="1"/>
  <c r="AS31" i="1"/>
  <c r="AS32" i="1"/>
  <c r="AS33" i="1"/>
  <c r="AY67" i="1"/>
  <c r="Y66" i="1" s="1"/>
  <c r="Y70" i="1" s="1"/>
  <c r="AW67" i="1"/>
  <c r="W66" i="1" s="1"/>
  <c r="W70" i="1" s="1"/>
  <c r="AV67" i="1"/>
  <c r="V66" i="1" s="1"/>
  <c r="V70" i="1" s="1"/>
  <c r="AU67" i="1"/>
  <c r="AT67" i="1"/>
  <c r="T66" i="1" s="1"/>
  <c r="T70" i="1" s="1"/>
  <c r="AZ67" i="1"/>
  <c r="Z183" i="1"/>
  <c r="S64" i="1"/>
  <c r="S72" i="1"/>
  <c r="AZ169" i="1"/>
  <c r="AZ170" i="1"/>
  <c r="AZ160" i="1"/>
  <c r="AZ161" i="1"/>
  <c r="AZ162" i="1"/>
  <c r="AZ163" i="1"/>
  <c r="AZ164" i="1"/>
  <c r="AZ165" i="1"/>
  <c r="AZ166" i="1"/>
  <c r="Y180" i="1" l="1"/>
  <c r="AG38" i="1"/>
  <c r="Z152" i="1"/>
  <c r="CH154" i="1"/>
  <c r="Z153" i="1" s="1"/>
  <c r="DC143" i="1"/>
  <c r="BQ187" i="1"/>
  <c r="BQ178" i="1"/>
  <c r="BQ184" i="1"/>
  <c r="BQ182" i="1"/>
  <c r="BQ186" i="1"/>
  <c r="BQ177" i="1"/>
  <c r="BQ181" i="1"/>
  <c r="BQ183" i="1"/>
  <c r="BQ185" i="1"/>
  <c r="BQ180" i="1"/>
  <c r="BQ179" i="1"/>
  <c r="D108" i="1"/>
  <c r="J107" i="1"/>
  <c r="CW143" i="1"/>
  <c r="CG186" i="1"/>
  <c r="CG179" i="1"/>
  <c r="CG184" i="1"/>
  <c r="CG177" i="1"/>
  <c r="CG180" i="1"/>
  <c r="CG183" i="1"/>
  <c r="CG185" i="1"/>
  <c r="CG187" i="1"/>
  <c r="CG178" i="1"/>
  <c r="CG182" i="1"/>
  <c r="Z69" i="1"/>
  <c r="BH152" i="1"/>
  <c r="BI152" i="1"/>
  <c r="W134" i="1"/>
  <c r="AX119" i="1"/>
  <c r="AX117" i="1"/>
  <c r="AX109" i="1"/>
  <c r="AX118" i="1"/>
  <c r="AX110" i="1"/>
  <c r="AX112" i="1"/>
  <c r="AX113" i="1"/>
  <c r="AX114" i="1"/>
  <c r="AX115" i="1"/>
  <c r="AX116" i="1"/>
  <c r="X35" i="1"/>
  <c r="X39" i="1" s="1"/>
  <c r="X38" i="1" s="1"/>
  <c r="AG66" i="1"/>
  <c r="AG70" i="1" s="1"/>
  <c r="AG69" i="1" s="1"/>
  <c r="BH15" i="1"/>
  <c r="BG15" i="1"/>
  <c r="AG120" i="1"/>
  <c r="AG134" i="1"/>
  <c r="AG138" i="1" s="1"/>
  <c r="DJ144" i="1"/>
  <c r="DJ143" i="1"/>
  <c r="CO154" i="1"/>
  <c r="AG153" i="1" s="1"/>
  <c r="AG152" i="1"/>
  <c r="AG174" i="1"/>
  <c r="AG183" i="1" s="1"/>
  <c r="BG182" i="1" s="1"/>
  <c r="AG166" i="1"/>
  <c r="BG150" i="1"/>
  <c r="BG149" i="1"/>
  <c r="BG148" i="1"/>
  <c r="BG147" i="1"/>
  <c r="BG145" i="1"/>
  <c r="BG143" i="1"/>
  <c r="BG144" i="1"/>
  <c r="BG152" i="1"/>
  <c r="BG146" i="1"/>
  <c r="BG151" i="1"/>
  <c r="DJ161" i="1"/>
  <c r="CO171" i="1"/>
  <c r="AG170" i="1" s="1"/>
  <c r="AG169" i="1"/>
  <c r="CW144" i="1"/>
  <c r="T152" i="1"/>
  <c r="V118" i="1"/>
  <c r="T138" i="1"/>
  <c r="V104" i="1"/>
  <c r="V103" i="1" s="1"/>
  <c r="Y121" i="1"/>
  <c r="Y120" i="1" s="1"/>
  <c r="W121" i="1"/>
  <c r="U39" i="1"/>
  <c r="BL147" i="1"/>
  <c r="BL151" i="1"/>
  <c r="BL152" i="1"/>
  <c r="BL145" i="1"/>
  <c r="U144" i="1"/>
  <c r="BL144" i="1"/>
  <c r="BL150" i="1"/>
  <c r="BL148" i="1"/>
  <c r="BL143" i="1"/>
  <c r="BL149" i="1"/>
  <c r="BL146" i="1"/>
  <c r="BL153" i="1"/>
  <c r="U160" i="1"/>
  <c r="Z184" i="1"/>
  <c r="V133" i="1"/>
  <c r="V134" i="1" s="1"/>
  <c r="CD120" i="1"/>
  <c r="V119" i="1" s="1"/>
  <c r="CY109" i="1"/>
  <c r="CY110" i="1"/>
  <c r="BS185" i="1"/>
  <c r="BS187" i="1"/>
  <c r="BS183" i="1"/>
  <c r="BS182" i="1"/>
  <c r="AB178" i="1"/>
  <c r="BS181" i="1"/>
  <c r="BS180" i="1"/>
  <c r="BS179" i="1"/>
  <c r="BS178" i="1"/>
  <c r="BS177" i="1"/>
  <c r="BS186" i="1"/>
  <c r="BS184" i="1"/>
  <c r="DC161" i="1"/>
  <c r="DB126" i="1"/>
  <c r="CH171" i="1"/>
  <c r="Z170" i="1" s="1"/>
  <c r="Z169" i="1"/>
  <c r="Z168" i="1"/>
  <c r="Y38" i="1"/>
  <c r="Y134" i="1"/>
  <c r="CG137" i="1"/>
  <c r="Y136" i="1" s="1"/>
  <c r="Y135" i="1"/>
  <c r="X141" i="1"/>
  <c r="X132" i="1"/>
  <c r="BP148" i="1"/>
  <c r="BP147" i="1"/>
  <c r="BP146" i="1"/>
  <c r="BP145" i="1"/>
  <c r="BP150" i="1"/>
  <c r="BP144" i="1"/>
  <c r="BP143" i="1"/>
  <c r="BP149" i="1"/>
  <c r="BP153" i="1"/>
  <c r="BP152" i="1"/>
  <c r="BP151" i="1"/>
  <c r="Y144" i="1"/>
  <c r="Y150" i="1" s="1"/>
  <c r="DB143" i="1" s="1"/>
  <c r="Y160" i="1"/>
  <c r="BM153" i="1"/>
  <c r="BM152" i="1"/>
  <c r="BM151" i="1"/>
  <c r="BM149" i="1"/>
  <c r="BM144" i="1"/>
  <c r="BM147" i="1"/>
  <c r="V144" i="1"/>
  <c r="BM143" i="1"/>
  <c r="BM150" i="1"/>
  <c r="BM148" i="1"/>
  <c r="BM146" i="1"/>
  <c r="V160" i="1"/>
  <c r="BM145" i="1"/>
  <c r="DA109" i="1"/>
  <c r="CF120" i="1"/>
  <c r="X119" i="1" s="1"/>
  <c r="X118" i="1"/>
  <c r="DA110" i="1"/>
  <c r="CZ127" i="1"/>
  <c r="CE137" i="1"/>
  <c r="W136" i="1" s="1"/>
  <c r="CZ126" i="1"/>
  <c r="W135" i="1"/>
  <c r="BN150" i="1"/>
  <c r="W144" i="1"/>
  <c r="W150" i="1" s="1"/>
  <c r="BN148" i="1"/>
  <c r="BN151" i="1"/>
  <c r="BN144" i="1"/>
  <c r="BN147" i="1"/>
  <c r="BN143" i="1"/>
  <c r="W160" i="1"/>
  <c r="BN146" i="1"/>
  <c r="BN149" i="1"/>
  <c r="BN153" i="1"/>
  <c r="BN145" i="1"/>
  <c r="BN152" i="1"/>
  <c r="Y69" i="1"/>
  <c r="BO135" i="1"/>
  <c r="BO129" i="1"/>
  <c r="BO134" i="1"/>
  <c r="BO133" i="1"/>
  <c r="BO130" i="1"/>
  <c r="BO131" i="1"/>
  <c r="BO126" i="1"/>
  <c r="X143" i="1"/>
  <c r="BO128" i="1"/>
  <c r="X127" i="1"/>
  <c r="X133" i="1" s="1"/>
  <c r="BO136" i="1"/>
  <c r="BO132" i="1"/>
  <c r="BO127" i="1"/>
  <c r="V38" i="1"/>
  <c r="V69" i="1"/>
  <c r="CD146" i="1"/>
  <c r="CD151" i="1"/>
  <c r="CD145" i="1"/>
  <c r="CD144" i="1"/>
  <c r="CD148" i="1"/>
  <c r="CD147" i="1"/>
  <c r="CD143" i="1"/>
  <c r="CD150" i="1"/>
  <c r="CD149" i="1"/>
  <c r="CD153" i="1"/>
  <c r="CD152" i="1"/>
  <c r="V162" i="1"/>
  <c r="V146" i="1"/>
  <c r="CC69" i="1"/>
  <c r="U68" i="1" s="1"/>
  <c r="CC76" i="1"/>
  <c r="CC75" i="1"/>
  <c r="CC85" i="1"/>
  <c r="CC84" i="1"/>
  <c r="CC83" i="1"/>
  <c r="CC82" i="1"/>
  <c r="CC81" i="1"/>
  <c r="CC80" i="1"/>
  <c r="CC78" i="1"/>
  <c r="CC79" i="1"/>
  <c r="CC77" i="1"/>
  <c r="U94" i="1"/>
  <c r="U78" i="1"/>
  <c r="U82" i="1" s="1"/>
  <c r="U67" i="1"/>
  <c r="CX59" i="1"/>
  <c r="U66" i="1"/>
  <c r="CX58" i="1"/>
  <c r="T180" i="1"/>
  <c r="CB187" i="1"/>
  <c r="CB186" i="1"/>
  <c r="CB185" i="1"/>
  <c r="CB184" i="1"/>
  <c r="CB183" i="1"/>
  <c r="CB182" i="1"/>
  <c r="CB181" i="1"/>
  <c r="CB180" i="1"/>
  <c r="CB179" i="1"/>
  <c r="CB178" i="1"/>
  <c r="CB177" i="1"/>
  <c r="CA77" i="1"/>
  <c r="CA79" i="1"/>
  <c r="CA76" i="1"/>
  <c r="CA81" i="1"/>
  <c r="S94" i="1"/>
  <c r="S78" i="1"/>
  <c r="S82" i="1" s="1"/>
  <c r="CA85" i="1"/>
  <c r="CA83" i="1"/>
  <c r="CA82" i="1"/>
  <c r="CA75" i="1"/>
  <c r="CA78" i="1"/>
  <c r="CA84" i="1"/>
  <c r="CA80" i="1"/>
  <c r="T167" i="1"/>
  <c r="CB171" i="1" s="1"/>
  <c r="T170" i="1" s="1"/>
  <c r="S35" i="1"/>
  <c r="AU169" i="1"/>
  <c r="AU170" i="1"/>
  <c r="AU160" i="1"/>
  <c r="AU161" i="1"/>
  <c r="AU162" i="1"/>
  <c r="AU163" i="1"/>
  <c r="AU164" i="1"/>
  <c r="AU165" i="1"/>
  <c r="AU166" i="1"/>
  <c r="AU167" i="1"/>
  <c r="AU168" i="1"/>
  <c r="AW169" i="1"/>
  <c r="AW170" i="1"/>
  <c r="AW160" i="1"/>
  <c r="AW161" i="1"/>
  <c r="AW162" i="1"/>
  <c r="AW163" i="1"/>
  <c r="AW164" i="1"/>
  <c r="AW165" i="1"/>
  <c r="AW166" i="1"/>
  <c r="AW167" i="1"/>
  <c r="AY143" i="1"/>
  <c r="AY144" i="1"/>
  <c r="AY145" i="1"/>
  <c r="AY146" i="1"/>
  <c r="AY147" i="1"/>
  <c r="AY148" i="1"/>
  <c r="AY149" i="1"/>
  <c r="AY150" i="1"/>
  <c r="AV169" i="1"/>
  <c r="AV170" i="1"/>
  <c r="AV160" i="1"/>
  <c r="AV161" i="1"/>
  <c r="AV162" i="1"/>
  <c r="AV163" i="1"/>
  <c r="AV164" i="1"/>
  <c r="AV165" i="1"/>
  <c r="AV166" i="1"/>
  <c r="AV167" i="1"/>
  <c r="AS58" i="1"/>
  <c r="AJ64" i="1"/>
  <c r="AJ65" i="1" s="1"/>
  <c r="AS59" i="1"/>
  <c r="AS60" i="1"/>
  <c r="AS61" i="1"/>
  <c r="AS62" i="1"/>
  <c r="AS63" i="1"/>
  <c r="AS64" i="1"/>
  <c r="AS65" i="1"/>
  <c r="AS66" i="1"/>
  <c r="AZ185" i="1"/>
  <c r="AZ186" i="1"/>
  <c r="AZ177" i="1"/>
  <c r="AZ187" i="1"/>
  <c r="AZ178" i="1"/>
  <c r="AZ179" i="1"/>
  <c r="AZ180" i="1"/>
  <c r="AZ181" i="1"/>
  <c r="AZ182" i="1"/>
  <c r="AZ183" i="1"/>
  <c r="AZ184" i="1"/>
  <c r="W183" i="1"/>
  <c r="U183" i="1"/>
  <c r="Y174" i="1"/>
  <c r="Y166" i="1"/>
  <c r="S177" i="1"/>
  <c r="BJ164" i="1"/>
  <c r="BJ168" i="1"/>
  <c r="BJ169" i="1"/>
  <c r="BJ163" i="1"/>
  <c r="BJ167" i="1"/>
  <c r="BJ165" i="1"/>
  <c r="BJ170" i="1"/>
  <c r="S161" i="1"/>
  <c r="BJ160" i="1"/>
  <c r="BJ166" i="1"/>
  <c r="BJ162" i="1"/>
  <c r="BJ161" i="1"/>
  <c r="AT160" i="1"/>
  <c r="AT161" i="1"/>
  <c r="AT162" i="1"/>
  <c r="AT163" i="1"/>
  <c r="AT164" i="1"/>
  <c r="AT165" i="1"/>
  <c r="AT166" i="1"/>
  <c r="AT167" i="1"/>
  <c r="V183" i="1"/>
  <c r="AV177" i="1" s="1"/>
  <c r="T183" i="1"/>
  <c r="AT15" i="1"/>
  <c r="AX15" i="1"/>
  <c r="AS15" i="1"/>
  <c r="AR15" i="1"/>
  <c r="BI16" i="1" s="1"/>
  <c r="AZ15" i="1"/>
  <c r="AY15" i="1"/>
  <c r="AV15" i="1"/>
  <c r="AU15" i="1"/>
  <c r="AW15" i="1"/>
  <c r="AS67" i="1"/>
  <c r="AV168" i="1"/>
  <c r="AZ152" i="1"/>
  <c r="Z151" i="1" s="1"/>
  <c r="AU152" i="1"/>
  <c r="AY152" i="1"/>
  <c r="AW152" i="1"/>
  <c r="AV152" i="1"/>
  <c r="AT152" i="1"/>
  <c r="AR152" i="1"/>
  <c r="BK186" i="1"/>
  <c r="T178" i="1"/>
  <c r="BK181" i="1"/>
  <c r="BK180" i="1"/>
  <c r="BK187" i="1"/>
  <c r="BK182" i="1"/>
  <c r="BK185" i="1"/>
  <c r="BK184" i="1"/>
  <c r="BK179" i="1"/>
  <c r="BK178" i="1"/>
  <c r="BK177" i="1"/>
  <c r="BK183" i="1"/>
  <c r="AW168" i="1"/>
  <c r="S67" i="1"/>
  <c r="AJ66" i="1"/>
  <c r="CV58" i="1"/>
  <c r="CV59" i="1"/>
  <c r="CA69" i="1"/>
  <c r="S68" i="1" s="1"/>
  <c r="S89" i="1"/>
  <c r="S81" i="1"/>
  <c r="D78" i="1" l="1"/>
  <c r="D87" i="1"/>
  <c r="Z155" i="1"/>
  <c r="Z186" i="1"/>
  <c r="D109" i="1"/>
  <c r="D79" i="1" s="1"/>
  <c r="J108" i="1"/>
  <c r="H10" i="1" s="1"/>
  <c r="BG185" i="1"/>
  <c r="BG179" i="1"/>
  <c r="BH153" i="1"/>
  <c r="BI153" i="1"/>
  <c r="AG137" i="1"/>
  <c r="BG183" i="1"/>
  <c r="BG177" i="1"/>
  <c r="BG181" i="1"/>
  <c r="DC177" i="1"/>
  <c r="DC178" i="1"/>
  <c r="BG178" i="1"/>
  <c r="BG184" i="1"/>
  <c r="BG187" i="1"/>
  <c r="BG180" i="1"/>
  <c r="AG184" i="1"/>
  <c r="CO188" i="1" s="1"/>
  <c r="AG187" i="1" s="1"/>
  <c r="X66" i="1"/>
  <c r="X70" i="1" s="1"/>
  <c r="X69" i="1" s="1"/>
  <c r="AX60" i="1"/>
  <c r="AX135" i="1"/>
  <c r="AX133" i="1"/>
  <c r="AX131" i="1"/>
  <c r="AX129" i="1"/>
  <c r="AX127" i="1"/>
  <c r="AX136" i="1"/>
  <c r="AX134" i="1"/>
  <c r="AX132" i="1"/>
  <c r="AX130" i="1"/>
  <c r="AX126" i="1"/>
  <c r="Z185" i="1"/>
  <c r="AT16" i="1"/>
  <c r="T14" i="1" s="1"/>
  <c r="T18" i="1" s="1"/>
  <c r="BH16" i="1"/>
  <c r="BG16" i="1"/>
  <c r="AG14" i="1" s="1"/>
  <c r="AG18" i="1" s="1"/>
  <c r="BG153" i="1"/>
  <c r="AG151" i="1" s="1"/>
  <c r="AG155" i="1" s="1"/>
  <c r="BG186" i="1"/>
  <c r="BG169" i="1"/>
  <c r="BG168" i="1"/>
  <c r="BG160" i="1"/>
  <c r="BG167" i="1"/>
  <c r="BG164" i="1"/>
  <c r="BG165" i="1"/>
  <c r="BG161" i="1"/>
  <c r="BG163" i="1"/>
  <c r="BG162" i="1"/>
  <c r="BG170" i="1"/>
  <c r="BG166" i="1"/>
  <c r="Z172" i="1"/>
  <c r="H7" i="3" s="1"/>
  <c r="V121" i="1"/>
  <c r="V120" i="1" s="1"/>
  <c r="Y138" i="1"/>
  <c r="Y137" i="1" s="1"/>
  <c r="W138" i="1"/>
  <c r="S39" i="1"/>
  <c r="W38" i="1" s="1"/>
  <c r="AJ24" i="1" s="1"/>
  <c r="U70" i="1"/>
  <c r="CH188" i="1"/>
  <c r="Z187" i="1" s="1"/>
  <c r="CY127" i="1"/>
  <c r="CY126" i="1"/>
  <c r="V135" i="1"/>
  <c r="CD137" i="1"/>
  <c r="V136" i="1" s="1"/>
  <c r="BL168" i="1"/>
  <c r="BL161" i="1"/>
  <c r="BL160" i="1"/>
  <c r="BL164" i="1"/>
  <c r="BL167" i="1"/>
  <c r="BL165" i="1"/>
  <c r="U177" i="1"/>
  <c r="U161" i="1"/>
  <c r="BL162" i="1"/>
  <c r="BL166" i="1"/>
  <c r="BL163" i="1"/>
  <c r="BL170" i="1"/>
  <c r="BL169" i="1"/>
  <c r="AZ16" i="1"/>
  <c r="AY16" i="1"/>
  <c r="DB144" i="1"/>
  <c r="V150" i="1"/>
  <c r="V152" i="1" s="1"/>
  <c r="BN169" i="1"/>
  <c r="BN168" i="1"/>
  <c r="BN165" i="1"/>
  <c r="BN160" i="1"/>
  <c r="W177" i="1"/>
  <c r="BN164" i="1"/>
  <c r="BN167" i="1"/>
  <c r="W161" i="1"/>
  <c r="W167" i="1" s="1"/>
  <c r="BN170" i="1"/>
  <c r="BN162" i="1"/>
  <c r="BN161" i="1"/>
  <c r="BN166" i="1"/>
  <c r="BN163" i="1"/>
  <c r="Z120" i="1"/>
  <c r="T168" i="1"/>
  <c r="BM170" i="1"/>
  <c r="BM162" i="1"/>
  <c r="BM160" i="1"/>
  <c r="V161" i="1"/>
  <c r="BM166" i="1"/>
  <c r="BM164" i="1"/>
  <c r="BM161" i="1"/>
  <c r="BM169" i="1"/>
  <c r="BM168" i="1"/>
  <c r="V177" i="1"/>
  <c r="BM163" i="1"/>
  <c r="BM167" i="1"/>
  <c r="BM165" i="1"/>
  <c r="BP166" i="1"/>
  <c r="BP167" i="1"/>
  <c r="BP165" i="1"/>
  <c r="BP168" i="1"/>
  <c r="BP164" i="1"/>
  <c r="BP163" i="1"/>
  <c r="BP162" i="1"/>
  <c r="BP161" i="1"/>
  <c r="BP160" i="1"/>
  <c r="BP170" i="1"/>
  <c r="BP169" i="1"/>
  <c r="Y177" i="1"/>
  <c r="Y161" i="1"/>
  <c r="Y167" i="1" s="1"/>
  <c r="DB161" i="1" s="1"/>
  <c r="CF137" i="1"/>
  <c r="X136" i="1" s="1"/>
  <c r="DA127" i="1"/>
  <c r="DA126" i="1"/>
  <c r="X135" i="1"/>
  <c r="Y152" i="1"/>
  <c r="CG154" i="1"/>
  <c r="Y153" i="1" s="1"/>
  <c r="T184" i="1"/>
  <c r="CB188" i="1" s="1"/>
  <c r="T187" i="1" s="1"/>
  <c r="X158" i="1"/>
  <c r="X149" i="1"/>
  <c r="BO144" i="1"/>
  <c r="BO147" i="1"/>
  <c r="BO148" i="1"/>
  <c r="BO143" i="1"/>
  <c r="BO146" i="1"/>
  <c r="BO149" i="1"/>
  <c r="X160" i="1"/>
  <c r="BO145" i="1"/>
  <c r="BO150" i="1"/>
  <c r="BO153" i="1"/>
  <c r="BO151" i="1"/>
  <c r="BO152" i="1"/>
  <c r="X144" i="1"/>
  <c r="X150" i="1" s="1"/>
  <c r="CZ144" i="1"/>
  <c r="CZ143" i="1"/>
  <c r="CE154" i="1"/>
  <c r="W153" i="1" s="1"/>
  <c r="W152" i="1"/>
  <c r="CD164" i="1"/>
  <c r="CD162" i="1"/>
  <c r="CD166" i="1"/>
  <c r="CD163" i="1"/>
  <c r="CD161" i="1"/>
  <c r="CD165" i="1"/>
  <c r="CD160" i="1"/>
  <c r="CD168" i="1"/>
  <c r="CD170" i="1"/>
  <c r="CD169" i="1"/>
  <c r="CD167" i="1"/>
  <c r="V163" i="1"/>
  <c r="V179" i="1"/>
  <c r="CW160" i="1"/>
  <c r="T169" i="1"/>
  <c r="CW161" i="1"/>
  <c r="S66" i="1"/>
  <c r="S70" i="1" s="1"/>
  <c r="CC86" i="1"/>
  <c r="U85" i="1" s="1"/>
  <c r="CC93" i="1"/>
  <c r="CC92" i="1"/>
  <c r="CC101" i="1"/>
  <c r="CC102" i="1"/>
  <c r="CC100" i="1"/>
  <c r="CC95" i="1"/>
  <c r="CC94" i="1"/>
  <c r="CC99" i="1"/>
  <c r="CC98" i="1"/>
  <c r="CC97" i="1"/>
  <c r="CC96" i="1"/>
  <c r="CX75" i="1"/>
  <c r="CX76" i="1"/>
  <c r="U84" i="1"/>
  <c r="U83" i="1"/>
  <c r="U95" i="1"/>
  <c r="U99" i="1" s="1"/>
  <c r="U111" i="1"/>
  <c r="CA99" i="1"/>
  <c r="CA98" i="1"/>
  <c r="CA93" i="1"/>
  <c r="CA101" i="1"/>
  <c r="CA92" i="1"/>
  <c r="CA100" i="1"/>
  <c r="CA95" i="1"/>
  <c r="S111" i="1"/>
  <c r="CA97" i="1"/>
  <c r="CA102" i="1"/>
  <c r="S95" i="1"/>
  <c r="S99" i="1" s="1"/>
  <c r="CA94" i="1"/>
  <c r="CA96" i="1"/>
  <c r="AW187" i="1"/>
  <c r="AW186" i="1"/>
  <c r="AW177" i="1"/>
  <c r="AW185" i="1"/>
  <c r="AW178" i="1"/>
  <c r="AW179" i="1"/>
  <c r="AW180" i="1"/>
  <c r="AW181" i="1"/>
  <c r="AW182" i="1"/>
  <c r="AW183" i="1"/>
  <c r="AW184" i="1"/>
  <c r="S106" i="1"/>
  <c r="S98" i="1"/>
  <c r="AT177" i="1"/>
  <c r="AT178" i="1"/>
  <c r="AT179" i="1"/>
  <c r="AT180" i="1"/>
  <c r="AT181" i="1"/>
  <c r="AT182" i="1"/>
  <c r="AT183" i="1"/>
  <c r="AT184" i="1"/>
  <c r="CA86" i="1"/>
  <c r="S85" i="1" s="1"/>
  <c r="S84" i="1"/>
  <c r="AP81" i="1"/>
  <c r="AQ81" i="1" s="1"/>
  <c r="AR81" i="1" s="1"/>
  <c r="AJ83" i="1"/>
  <c r="CV75" i="1"/>
  <c r="CV76" i="1"/>
  <c r="AZ153" i="1"/>
  <c r="AY153" i="1"/>
  <c r="Y151" i="1" s="1"/>
  <c r="AW153" i="1"/>
  <c r="W151" i="1" s="1"/>
  <c r="AV153" i="1"/>
  <c r="AU153" i="1"/>
  <c r="AT153" i="1"/>
  <c r="T151" i="1" s="1"/>
  <c r="T155" i="1" s="1"/>
  <c r="AU187" i="1"/>
  <c r="AU185" i="1"/>
  <c r="AU186" i="1"/>
  <c r="AU177" i="1"/>
  <c r="AU178" i="1"/>
  <c r="AU179" i="1"/>
  <c r="AU180" i="1"/>
  <c r="AU181" i="1"/>
  <c r="AU182" i="1"/>
  <c r="AU183" i="1"/>
  <c r="AU184" i="1"/>
  <c r="AS75" i="1"/>
  <c r="AJ81" i="1"/>
  <c r="AJ82" i="1" s="1"/>
  <c r="AS76" i="1"/>
  <c r="AX77" i="1" s="1"/>
  <c r="AS77" i="1"/>
  <c r="AS78" i="1"/>
  <c r="AS79" i="1"/>
  <c r="AS80" i="1"/>
  <c r="AS81" i="1"/>
  <c r="AU16" i="1"/>
  <c r="U14" i="1" s="1"/>
  <c r="U18" i="1" s="1"/>
  <c r="AX16" i="1"/>
  <c r="X14" i="1" s="1"/>
  <c r="X18" i="1" s="1"/>
  <c r="AS16" i="1"/>
  <c r="S14" i="1" s="1"/>
  <c r="S18" i="1" s="1"/>
  <c r="AV16" i="1"/>
  <c r="V14" i="1" s="1"/>
  <c r="V18" i="1" s="1"/>
  <c r="AW16" i="1"/>
  <c r="W14" i="1" s="1"/>
  <c r="W18" i="1" s="1"/>
  <c r="BJ185" i="1"/>
  <c r="BJ184" i="1"/>
  <c r="BJ179" i="1"/>
  <c r="BJ186" i="1"/>
  <c r="BJ183" i="1"/>
  <c r="BJ178" i="1"/>
  <c r="BJ177" i="1"/>
  <c r="BJ180" i="1"/>
  <c r="BJ187" i="1"/>
  <c r="BJ182" i="1"/>
  <c r="BJ181" i="1"/>
  <c r="S178" i="1"/>
  <c r="AY170" i="1"/>
  <c r="AY169" i="1"/>
  <c r="AY160" i="1"/>
  <c r="AY161" i="1"/>
  <c r="AY162" i="1"/>
  <c r="AY163" i="1"/>
  <c r="AY164" i="1"/>
  <c r="AY165" i="1"/>
  <c r="AY166" i="1"/>
  <c r="AY167" i="1"/>
  <c r="AY168" i="1"/>
  <c r="Y183" i="1"/>
  <c r="J26" i="1" l="1"/>
  <c r="I26" i="1"/>
  <c r="AJ39" i="1"/>
  <c r="AG17" i="1"/>
  <c r="DJ178" i="1"/>
  <c r="AG168" i="1"/>
  <c r="AG172" i="1" s="1"/>
  <c r="D110" i="1"/>
  <c r="D80" i="1" s="1"/>
  <c r="J109" i="1"/>
  <c r="W17" i="1"/>
  <c r="U17" i="1"/>
  <c r="AX82" i="1"/>
  <c r="BI82" i="1"/>
  <c r="Y14" i="1"/>
  <c r="Y18" i="1" s="1"/>
  <c r="Y17" i="1" s="1"/>
  <c r="X17" i="1"/>
  <c r="AG186" i="1"/>
  <c r="AG185" i="1"/>
  <c r="DJ177" i="1"/>
  <c r="AG154" i="1"/>
  <c r="Z189" i="1"/>
  <c r="AX153" i="1"/>
  <c r="X151" i="1" s="1"/>
  <c r="AX151" i="1"/>
  <c r="AX149" i="1"/>
  <c r="AX147" i="1"/>
  <c r="AX143" i="1"/>
  <c r="AX152" i="1"/>
  <c r="AX150" i="1"/>
  <c r="AX148" i="1"/>
  <c r="AX146" i="1"/>
  <c r="AX144" i="1"/>
  <c r="BG82" i="1"/>
  <c r="BH82" i="1"/>
  <c r="Y155" i="1"/>
  <c r="Y154" i="1" s="1"/>
  <c r="U38" i="1"/>
  <c r="T38" i="1"/>
  <c r="V138" i="1"/>
  <c r="V137" i="1" s="1"/>
  <c r="T172" i="1"/>
  <c r="C21" i="1" s="1"/>
  <c r="C22" i="1" s="1"/>
  <c r="W155" i="1"/>
  <c r="Z154" i="1" s="1"/>
  <c r="U87" i="1"/>
  <c r="V151" i="1"/>
  <c r="BL187" i="1"/>
  <c r="BL182" i="1"/>
  <c r="BL179" i="1"/>
  <c r="BL186" i="1"/>
  <c r="BL184" i="1"/>
  <c r="BL181" i="1"/>
  <c r="U178" i="1"/>
  <c r="BL180" i="1"/>
  <c r="BL178" i="1"/>
  <c r="BL185" i="1"/>
  <c r="BL177" i="1"/>
  <c r="BL183" i="1"/>
  <c r="CD154" i="1"/>
  <c r="V153" i="1" s="1"/>
  <c r="CW177" i="1"/>
  <c r="CW178" i="1"/>
  <c r="T186" i="1"/>
  <c r="DB160" i="1"/>
  <c r="Y168" i="1"/>
  <c r="V167" i="1"/>
  <c r="CD171" i="1" s="1"/>
  <c r="V170" i="1" s="1"/>
  <c r="CY143" i="1"/>
  <c r="CY144" i="1"/>
  <c r="Z17" i="1"/>
  <c r="BO162" i="1"/>
  <c r="BO163" i="1"/>
  <c r="X161" i="1"/>
  <c r="X167" i="1" s="1"/>
  <c r="X177" i="1"/>
  <c r="BO170" i="1"/>
  <c r="BO166" i="1"/>
  <c r="BO167" i="1"/>
  <c r="BO160" i="1"/>
  <c r="BO164" i="1"/>
  <c r="BO165" i="1"/>
  <c r="BO168" i="1"/>
  <c r="BO161" i="1"/>
  <c r="BO169" i="1"/>
  <c r="Z137" i="1"/>
  <c r="CE171" i="1"/>
  <c r="W170" i="1" s="1"/>
  <c r="CZ161" i="1"/>
  <c r="W169" i="1"/>
  <c r="CZ160" i="1"/>
  <c r="Y169" i="1"/>
  <c r="CG171" i="1"/>
  <c r="Y170" i="1" s="1"/>
  <c r="Y178" i="1"/>
  <c r="Y184" i="1" s="1"/>
  <c r="DB177" i="1" s="1"/>
  <c r="BP184" i="1"/>
  <c r="BP183" i="1"/>
  <c r="BP182" i="1"/>
  <c r="BP181" i="1"/>
  <c r="BP180" i="1"/>
  <c r="BP179" i="1"/>
  <c r="BP178" i="1"/>
  <c r="BP177" i="1"/>
  <c r="BP186" i="1"/>
  <c r="BP187" i="1"/>
  <c r="BP185" i="1"/>
  <c r="BN186" i="1"/>
  <c r="W178" i="1"/>
  <c r="W184" i="1" s="1"/>
  <c r="BN179" i="1"/>
  <c r="BN183" i="1"/>
  <c r="BN182" i="1"/>
  <c r="BN185" i="1"/>
  <c r="BN178" i="1"/>
  <c r="BN181" i="1"/>
  <c r="BN187" i="1"/>
  <c r="BN177" i="1"/>
  <c r="BN184" i="1"/>
  <c r="BN180" i="1"/>
  <c r="DA144" i="1"/>
  <c r="CF154" i="1"/>
  <c r="X153" i="1" s="1"/>
  <c r="DA143" i="1"/>
  <c r="X152" i="1"/>
  <c r="BM177" i="1"/>
  <c r="BM180" i="1"/>
  <c r="BM178" i="1"/>
  <c r="BM187" i="1"/>
  <c r="BM182" i="1"/>
  <c r="BM185" i="1"/>
  <c r="BM184" i="1"/>
  <c r="BM183" i="1"/>
  <c r="BM179" i="1"/>
  <c r="BM181" i="1"/>
  <c r="BM186" i="1"/>
  <c r="V178" i="1"/>
  <c r="W168" i="1"/>
  <c r="X175" i="1"/>
  <c r="X183" i="1" s="1"/>
  <c r="X166" i="1"/>
  <c r="T69" i="1"/>
  <c r="W69" i="1"/>
  <c r="AJ55" i="1" s="1"/>
  <c r="V180" i="1"/>
  <c r="CD182" i="1"/>
  <c r="CD181" i="1"/>
  <c r="CD180" i="1"/>
  <c r="CD187" i="1"/>
  <c r="CD179" i="1"/>
  <c r="CD178" i="1"/>
  <c r="CD177" i="1"/>
  <c r="CD186" i="1"/>
  <c r="CD184" i="1"/>
  <c r="CD185" i="1"/>
  <c r="CD183" i="1"/>
  <c r="AJ70" i="1"/>
  <c r="CC103" i="1"/>
  <c r="U102" i="1" s="1"/>
  <c r="S83" i="1"/>
  <c r="S87" i="1" s="1"/>
  <c r="CC110" i="1"/>
  <c r="CC109" i="1"/>
  <c r="CC119" i="1"/>
  <c r="CC118" i="1"/>
  <c r="CC111" i="1"/>
  <c r="CC117" i="1"/>
  <c r="CC116" i="1"/>
  <c r="CC115" i="1"/>
  <c r="CC114" i="1"/>
  <c r="CC112" i="1"/>
  <c r="CC113" i="1"/>
  <c r="U69" i="1"/>
  <c r="U128" i="1"/>
  <c r="U112" i="1"/>
  <c r="U116" i="1" s="1"/>
  <c r="U101" i="1"/>
  <c r="CX92" i="1"/>
  <c r="CX93" i="1"/>
  <c r="U100" i="1"/>
  <c r="CA112" i="1"/>
  <c r="CA114" i="1"/>
  <c r="S112" i="1"/>
  <c r="S116" i="1" s="1"/>
  <c r="CA118" i="1"/>
  <c r="CA117" i="1"/>
  <c r="CA116" i="1"/>
  <c r="CA110" i="1"/>
  <c r="CA109" i="1"/>
  <c r="CA111" i="1"/>
  <c r="CA113" i="1"/>
  <c r="S128" i="1"/>
  <c r="CA115" i="1"/>
  <c r="CA119" i="1"/>
  <c r="T185" i="1"/>
  <c r="AY187" i="1"/>
  <c r="AY185" i="1"/>
  <c r="AY186" i="1"/>
  <c r="AY177" i="1"/>
  <c r="AY178" i="1"/>
  <c r="AY179" i="1"/>
  <c r="AY180" i="1"/>
  <c r="AY181" i="1"/>
  <c r="AY182" i="1"/>
  <c r="AY183" i="1"/>
  <c r="AY184" i="1"/>
  <c r="CV93" i="1"/>
  <c r="S101" i="1"/>
  <c r="CV92" i="1"/>
  <c r="AJ100" i="1"/>
  <c r="CA103" i="1"/>
  <c r="S102" i="1" s="1"/>
  <c r="AP98" i="1"/>
  <c r="AQ98" i="1" s="1"/>
  <c r="AR98" i="1" s="1"/>
  <c r="AZ82" i="1"/>
  <c r="AV82" i="1"/>
  <c r="AY82" i="1"/>
  <c r="AW82" i="1"/>
  <c r="AU82" i="1"/>
  <c r="AJ98" i="1"/>
  <c r="AJ99" i="1" s="1"/>
  <c r="AS92" i="1"/>
  <c r="AS93" i="1"/>
  <c r="AS94" i="1"/>
  <c r="AS95" i="1"/>
  <c r="AS96" i="1"/>
  <c r="AS97" i="1"/>
  <c r="AS98" i="1"/>
  <c r="S115" i="1"/>
  <c r="S123" i="1"/>
  <c r="AG171" i="1" l="1"/>
  <c r="E29" i="1"/>
  <c r="E35" i="1" s="1"/>
  <c r="E37" i="1" s="1"/>
  <c r="D111" i="1"/>
  <c r="D81" i="1" s="1"/>
  <c r="J110" i="1"/>
  <c r="AJ3" i="1"/>
  <c r="AG189" i="1"/>
  <c r="AX99" i="1"/>
  <c r="BI99" i="1"/>
  <c r="AX169" i="1"/>
  <c r="AX167" i="1"/>
  <c r="AX165" i="1"/>
  <c r="AX163" i="1"/>
  <c r="AX161" i="1"/>
  <c r="AX170" i="1"/>
  <c r="AX168" i="1"/>
  <c r="AX166" i="1"/>
  <c r="AX164" i="1"/>
  <c r="AX160" i="1"/>
  <c r="X100" i="1"/>
  <c r="X104" i="1" s="1"/>
  <c r="X103" i="1" s="1"/>
  <c r="AX94" i="1"/>
  <c r="AX187" i="1"/>
  <c r="AX185" i="1"/>
  <c r="AX183" i="1"/>
  <c r="AX181" i="1"/>
  <c r="AX177" i="1"/>
  <c r="AX186" i="1"/>
  <c r="AX184" i="1"/>
  <c r="AX182" i="1"/>
  <c r="AX180" i="1"/>
  <c r="AX178" i="1"/>
  <c r="BG99" i="1"/>
  <c r="BH99" i="1"/>
  <c r="T189" i="1"/>
  <c r="Y172" i="1"/>
  <c r="Y171" i="1" s="1"/>
  <c r="D29" i="1" s="1"/>
  <c r="X155" i="1"/>
  <c r="X154" i="1" s="1"/>
  <c r="V155" i="1"/>
  <c r="V154" i="1" s="1"/>
  <c r="W172" i="1"/>
  <c r="U104" i="1"/>
  <c r="V17" i="1"/>
  <c r="CY160" i="1"/>
  <c r="Y185" i="1"/>
  <c r="DB178" i="1"/>
  <c r="V168" i="1"/>
  <c r="V169" i="1"/>
  <c r="CY161" i="1"/>
  <c r="AU99" i="1"/>
  <c r="V184" i="1"/>
  <c r="CY177" i="1" s="1"/>
  <c r="BO181" i="1"/>
  <c r="BO178" i="1"/>
  <c r="BO177" i="1"/>
  <c r="BO184" i="1"/>
  <c r="BO183" i="1"/>
  <c r="BO180" i="1"/>
  <c r="BO186" i="1"/>
  <c r="X178" i="1"/>
  <c r="X184" i="1" s="1"/>
  <c r="BO187" i="1"/>
  <c r="BO182" i="1"/>
  <c r="BO185" i="1"/>
  <c r="BO179" i="1"/>
  <c r="X169" i="1"/>
  <c r="CF171" i="1"/>
  <c r="X170" i="1" s="1"/>
  <c r="DA161" i="1"/>
  <c r="DA160" i="1"/>
  <c r="CZ177" i="1"/>
  <c r="CZ178" i="1"/>
  <c r="CE188" i="1"/>
  <c r="W187" i="1" s="1"/>
  <c r="W186" i="1"/>
  <c r="W185" i="1"/>
  <c r="CG188" i="1"/>
  <c r="Y187" i="1" s="1"/>
  <c r="Y186" i="1"/>
  <c r="T86" i="1"/>
  <c r="W86" i="1"/>
  <c r="AJ72" i="1" s="1"/>
  <c r="AJ87" i="1"/>
  <c r="S100" i="1"/>
  <c r="S104" i="1" s="1"/>
  <c r="CC120" i="1"/>
  <c r="U119" i="1" s="1"/>
  <c r="U86" i="1"/>
  <c r="CC127" i="1"/>
  <c r="CC126" i="1"/>
  <c r="CC128" i="1"/>
  <c r="CC136" i="1"/>
  <c r="CC135" i="1"/>
  <c r="CC134" i="1"/>
  <c r="CC133" i="1"/>
  <c r="CC132" i="1"/>
  <c r="CC131" i="1"/>
  <c r="CC129" i="1"/>
  <c r="CC130" i="1"/>
  <c r="CX110" i="1"/>
  <c r="U118" i="1"/>
  <c r="U117" i="1"/>
  <c r="CX109" i="1"/>
  <c r="U145" i="1"/>
  <c r="U129" i="1"/>
  <c r="U133" i="1" s="1"/>
  <c r="CA134" i="1"/>
  <c r="CA127" i="1"/>
  <c r="CA126" i="1"/>
  <c r="CA135" i="1"/>
  <c r="CA129" i="1"/>
  <c r="CA133" i="1"/>
  <c r="CA131" i="1"/>
  <c r="CA128" i="1"/>
  <c r="CA132" i="1"/>
  <c r="S129" i="1"/>
  <c r="S133" i="1" s="1"/>
  <c r="S145" i="1"/>
  <c r="CA130" i="1"/>
  <c r="CA136" i="1"/>
  <c r="CA120" i="1"/>
  <c r="S119" i="1" s="1"/>
  <c r="S118" i="1"/>
  <c r="CV110" i="1"/>
  <c r="AJ117" i="1"/>
  <c r="CV109" i="1"/>
  <c r="AY99" i="1"/>
  <c r="AW99" i="1"/>
  <c r="AV99" i="1"/>
  <c r="AZ99" i="1"/>
  <c r="AS109" i="1"/>
  <c r="AJ115" i="1"/>
  <c r="AJ116" i="1" s="1"/>
  <c r="AS110" i="1"/>
  <c r="AS111" i="1"/>
  <c r="AS112" i="1"/>
  <c r="AS113" i="1"/>
  <c r="AS114" i="1"/>
  <c r="AS115" i="1"/>
  <c r="AS116" i="1"/>
  <c r="S132" i="1"/>
  <c r="S140" i="1"/>
  <c r="AG188" i="1" l="1"/>
  <c r="D31" i="1"/>
  <c r="D33" i="1" s="1"/>
  <c r="D35" i="1"/>
  <c r="D37" i="1" s="1"/>
  <c r="E31" i="1"/>
  <c r="E33" i="1" s="1"/>
  <c r="D112" i="1"/>
  <c r="D82" i="1" s="1"/>
  <c r="J111" i="1"/>
  <c r="G6" i="2"/>
  <c r="X117" i="1"/>
  <c r="X121" i="1" s="1"/>
  <c r="X120" i="1" s="1"/>
  <c r="AX111" i="1"/>
  <c r="X168" i="1"/>
  <c r="X172" i="1" s="1"/>
  <c r="X171" i="1" s="1"/>
  <c r="Y189" i="1"/>
  <c r="Y188" i="1" s="1"/>
  <c r="W189" i="1"/>
  <c r="Z188" i="1" s="1"/>
  <c r="V172" i="1"/>
  <c r="V171" i="1" s="1"/>
  <c r="U121" i="1"/>
  <c r="F6" i="2"/>
  <c r="CD188" i="1"/>
  <c r="V187" i="1" s="1"/>
  <c r="CY178" i="1"/>
  <c r="V186" i="1"/>
  <c r="CF188" i="1"/>
  <c r="X187" i="1" s="1"/>
  <c r="X186" i="1"/>
  <c r="DA178" i="1"/>
  <c r="X185" i="1"/>
  <c r="DA177" i="1"/>
  <c r="CC137" i="1"/>
  <c r="U136" i="1" s="1"/>
  <c r="Z171" i="1"/>
  <c r="W103" i="1"/>
  <c r="AJ89" i="1" s="1"/>
  <c r="T103" i="1"/>
  <c r="S117" i="1"/>
  <c r="S121" i="1" s="1"/>
  <c r="AJ104" i="1"/>
  <c r="CC144" i="1"/>
  <c r="CC143" i="1"/>
  <c r="CC152" i="1"/>
  <c r="CC153" i="1"/>
  <c r="CC151" i="1"/>
  <c r="CC150" i="1"/>
  <c r="CC149" i="1"/>
  <c r="CC146" i="1"/>
  <c r="CC145" i="1"/>
  <c r="CC148" i="1"/>
  <c r="CC147" i="1"/>
  <c r="U103" i="1"/>
  <c r="CX126" i="1"/>
  <c r="U135" i="1"/>
  <c r="CX127" i="1"/>
  <c r="U134" i="1"/>
  <c r="U146" i="1"/>
  <c r="U150" i="1" s="1"/>
  <c r="U162" i="1"/>
  <c r="S146" i="1"/>
  <c r="S150" i="1" s="1"/>
  <c r="CA145" i="1"/>
  <c r="CA150" i="1"/>
  <c r="S162" i="1"/>
  <c r="CA152" i="1"/>
  <c r="CA148" i="1"/>
  <c r="CA143" i="1"/>
  <c r="CA146" i="1"/>
  <c r="CA144" i="1"/>
  <c r="CA147" i="1"/>
  <c r="CA149" i="1"/>
  <c r="CA153" i="1"/>
  <c r="CA151" i="1"/>
  <c r="S149" i="1"/>
  <c r="S157" i="1"/>
  <c r="CV126" i="1"/>
  <c r="S135" i="1"/>
  <c r="CA137" i="1"/>
  <c r="S136" i="1" s="1"/>
  <c r="CV127" i="1"/>
  <c r="AJ134" i="1"/>
  <c r="AS126" i="1"/>
  <c r="AJ132" i="1"/>
  <c r="AJ133" i="1" s="1"/>
  <c r="AS127" i="1"/>
  <c r="AS128" i="1"/>
  <c r="AS129" i="1"/>
  <c r="AS130" i="1"/>
  <c r="AS131" i="1"/>
  <c r="AS132" i="1"/>
  <c r="AS133" i="1"/>
  <c r="AS134" i="1"/>
  <c r="D113" i="1" l="1"/>
  <c r="D83" i="1" s="1"/>
  <c r="J112" i="1"/>
  <c r="X134" i="1"/>
  <c r="X138" i="1" s="1"/>
  <c r="X137" i="1" s="1"/>
  <c r="AX128" i="1"/>
  <c r="X189" i="1"/>
  <c r="X188" i="1" s="1"/>
  <c r="U138" i="1"/>
  <c r="S134" i="1"/>
  <c r="S138" i="1" s="1"/>
  <c r="T120" i="1"/>
  <c r="W120" i="1"/>
  <c r="AJ106" i="1" s="1"/>
  <c r="CC154" i="1"/>
  <c r="U153" i="1" s="1"/>
  <c r="U120" i="1"/>
  <c r="CC161" i="1"/>
  <c r="CC160" i="1"/>
  <c r="CC170" i="1"/>
  <c r="CC169" i="1"/>
  <c r="CC168" i="1"/>
  <c r="CC167" i="1"/>
  <c r="CC162" i="1"/>
  <c r="CC166" i="1"/>
  <c r="CC165" i="1"/>
  <c r="CC163" i="1"/>
  <c r="CC164" i="1"/>
  <c r="U179" i="1"/>
  <c r="U163" i="1"/>
  <c r="U167" i="1" s="1"/>
  <c r="CX143" i="1"/>
  <c r="CX144" i="1"/>
  <c r="U151" i="1"/>
  <c r="U152" i="1"/>
  <c r="CA164" i="1"/>
  <c r="CA163" i="1"/>
  <c r="CA161" i="1"/>
  <c r="CA166" i="1"/>
  <c r="S179" i="1"/>
  <c r="CA165" i="1"/>
  <c r="CA168" i="1"/>
  <c r="S163" i="1"/>
  <c r="S167" i="1" s="1"/>
  <c r="CA169" i="1"/>
  <c r="CA167" i="1"/>
  <c r="CA170" i="1"/>
  <c r="CA162" i="1"/>
  <c r="CA160" i="1"/>
  <c r="AJ121" i="1"/>
  <c r="S166" i="1"/>
  <c r="S174" i="1"/>
  <c r="AJ151" i="1"/>
  <c r="CV143" i="1"/>
  <c r="CA154" i="1"/>
  <c r="S153" i="1" s="1"/>
  <c r="S152" i="1"/>
  <c r="CV144" i="1"/>
  <c r="AJ149" i="1"/>
  <c r="AJ150" i="1" s="1"/>
  <c r="AS143" i="1"/>
  <c r="AS144" i="1"/>
  <c r="AX145" i="1" s="1"/>
  <c r="AS145" i="1"/>
  <c r="AS146" i="1"/>
  <c r="AS147" i="1"/>
  <c r="AS148" i="1"/>
  <c r="AS149" i="1"/>
  <c r="AS150" i="1"/>
  <c r="AS151" i="1"/>
  <c r="AS152" i="1"/>
  <c r="AS153" i="1"/>
  <c r="D114" i="1" l="1"/>
  <c r="J113" i="1"/>
  <c r="H11" i="1" s="1"/>
  <c r="G10" i="2"/>
  <c r="U155" i="1"/>
  <c r="U137" i="1"/>
  <c r="W137" i="1"/>
  <c r="AJ123" i="1" s="1"/>
  <c r="S151" i="1"/>
  <c r="CC171" i="1"/>
  <c r="U170" i="1" s="1"/>
  <c r="U180" i="1"/>
  <c r="U184" i="1" s="1"/>
  <c r="CX178" i="1" s="1"/>
  <c r="CC178" i="1"/>
  <c r="CC177" i="1"/>
  <c r="CC186" i="1"/>
  <c r="CC187" i="1"/>
  <c r="CC185" i="1"/>
  <c r="CC184" i="1"/>
  <c r="CC180" i="1"/>
  <c r="CC183" i="1"/>
  <c r="CC182" i="1"/>
  <c r="CC179" i="1"/>
  <c r="CC181" i="1"/>
  <c r="U169" i="1"/>
  <c r="CX161" i="1"/>
  <c r="CX160" i="1"/>
  <c r="U168" i="1"/>
  <c r="CA181" i="1"/>
  <c r="CA187" i="1"/>
  <c r="CA183" i="1"/>
  <c r="S180" i="1"/>
  <c r="S184" i="1" s="1"/>
  <c r="CA178" i="1"/>
  <c r="CA180" i="1"/>
  <c r="CA177" i="1"/>
  <c r="CA185" i="1"/>
  <c r="CA179" i="1"/>
  <c r="CA182" i="1"/>
  <c r="CA184" i="1"/>
  <c r="CA186" i="1"/>
  <c r="CV161" i="1"/>
  <c r="AJ168" i="1"/>
  <c r="S169" i="1"/>
  <c r="CA171" i="1"/>
  <c r="S170" i="1" s="1"/>
  <c r="CV160" i="1"/>
  <c r="S183" i="1"/>
  <c r="AS160" i="1"/>
  <c r="AJ166" i="1"/>
  <c r="AJ167" i="1" s="1"/>
  <c r="AS161" i="1"/>
  <c r="AX162" i="1" s="1"/>
  <c r="AS162" i="1"/>
  <c r="AS163" i="1"/>
  <c r="AS164" i="1"/>
  <c r="AS165" i="1"/>
  <c r="AS166" i="1"/>
  <c r="AS167" i="1"/>
  <c r="AS168" i="1"/>
  <c r="T137" i="1"/>
  <c r="AJ138" i="1"/>
  <c r="J114" i="1" l="1"/>
  <c r="D84" i="1"/>
  <c r="J115" i="1"/>
  <c r="CK8" i="1"/>
  <c r="U172" i="1"/>
  <c r="S155" i="1"/>
  <c r="CX177" i="1"/>
  <c r="U185" i="1"/>
  <c r="S168" i="1"/>
  <c r="S172" i="1" s="1"/>
  <c r="U186" i="1"/>
  <c r="CC188" i="1"/>
  <c r="U187" i="1" s="1"/>
  <c r="AS177" i="1"/>
  <c r="AV178" i="1" s="1"/>
  <c r="AJ183" i="1"/>
  <c r="AJ184" i="1" s="1"/>
  <c r="AS178" i="1"/>
  <c r="AX179" i="1" s="1"/>
  <c r="AS179" i="1"/>
  <c r="AV180" i="1" s="1"/>
  <c r="AS180" i="1"/>
  <c r="AV181" i="1" s="1"/>
  <c r="AS181" i="1"/>
  <c r="AV182" i="1" s="1"/>
  <c r="AS182" i="1"/>
  <c r="AV183" i="1" s="1"/>
  <c r="AS183" i="1"/>
  <c r="AV184" i="1" s="1"/>
  <c r="AS184" i="1"/>
  <c r="CV178" i="1"/>
  <c r="AJ185" i="1"/>
  <c r="CA188" i="1"/>
  <c r="S187" i="1" s="1"/>
  <c r="CV177" i="1"/>
  <c r="S186" i="1"/>
  <c r="W154" i="1" l="1"/>
  <c r="AJ140" i="1" s="1"/>
  <c r="M87" i="1"/>
  <c r="C12" i="1"/>
  <c r="C13" i="1" s="1"/>
  <c r="AC11" i="1"/>
  <c r="AC32" i="1" s="1"/>
  <c r="CJ8" i="1"/>
  <c r="V185" i="1"/>
  <c r="V189" i="1" s="1"/>
  <c r="V188" i="1" s="1"/>
  <c r="CK16" i="1"/>
  <c r="CK14" i="1"/>
  <c r="CK13" i="1"/>
  <c r="CK7" i="1"/>
  <c r="CK6" i="1"/>
  <c r="AC9" i="1"/>
  <c r="CK15" i="1"/>
  <c r="CK12" i="1"/>
  <c r="CK11" i="1"/>
  <c r="CK10" i="1"/>
  <c r="CK9" i="1"/>
  <c r="AC29" i="1"/>
  <c r="CK37" i="1" s="1"/>
  <c r="U154" i="1"/>
  <c r="AJ155" i="1"/>
  <c r="T154" i="1"/>
  <c r="U189" i="1"/>
  <c r="U171" i="1"/>
  <c r="W171" i="1"/>
  <c r="AJ157" i="1" s="1"/>
  <c r="T171" i="1"/>
  <c r="AJ172" i="1"/>
  <c r="AV179" i="1"/>
  <c r="S185" i="1"/>
  <c r="S189" i="1" s="1"/>
  <c r="Q28" i="1" s="1"/>
  <c r="M89" i="1" l="1"/>
  <c r="N89" i="1" s="1"/>
  <c r="M120" i="1"/>
  <c r="N120" i="1" s="1"/>
  <c r="CJ6" i="1"/>
  <c r="CJ15" i="1"/>
  <c r="AB11" i="1"/>
  <c r="AB12" i="1" s="1"/>
  <c r="BB6" i="1" s="1"/>
  <c r="CJ11" i="1"/>
  <c r="CJ10" i="1"/>
  <c r="CJ7" i="1"/>
  <c r="AB9" i="1"/>
  <c r="AB13" i="1" s="1"/>
  <c r="DE7" i="1" s="1"/>
  <c r="CJ16" i="1"/>
  <c r="CJ13" i="1"/>
  <c r="CJ12" i="1"/>
  <c r="AB29" i="1"/>
  <c r="CJ33" i="1" s="1"/>
  <c r="CJ14" i="1"/>
  <c r="CJ9" i="1"/>
  <c r="CK30" i="1"/>
  <c r="CK29" i="1"/>
  <c r="CK31" i="1"/>
  <c r="CK27" i="1"/>
  <c r="CK28" i="1"/>
  <c r="CJ37" i="1"/>
  <c r="CK33" i="1"/>
  <c r="AC60" i="1"/>
  <c r="CK58" i="1" s="1"/>
  <c r="AC31" i="1"/>
  <c r="AC62" i="1" s="1"/>
  <c r="AC79" i="1" s="1"/>
  <c r="AC96" i="1" s="1"/>
  <c r="AC113" i="1" s="1"/>
  <c r="AC130" i="1" s="1"/>
  <c r="AC147" i="1" s="1"/>
  <c r="AC164" i="1" s="1"/>
  <c r="AC181" i="1" s="1"/>
  <c r="CK32" i="1"/>
  <c r="CK34" i="1"/>
  <c r="AC30" i="1"/>
  <c r="AC34" i="1" s="1"/>
  <c r="AC36" i="1" s="1"/>
  <c r="CK36" i="1"/>
  <c r="CJ27" i="1"/>
  <c r="CK35" i="1"/>
  <c r="CJ34" i="1"/>
  <c r="AC13" i="1"/>
  <c r="AC15" i="1" s="1"/>
  <c r="AB30" i="1"/>
  <c r="AC12" i="1"/>
  <c r="BC8" i="1" s="1"/>
  <c r="AC63" i="1"/>
  <c r="AC33" i="1"/>
  <c r="T188" i="1"/>
  <c r="W188" i="1"/>
  <c r="AJ174" i="1" s="1"/>
  <c r="U188" i="1"/>
  <c r="P120" i="1" l="1"/>
  <c r="Q120" i="1"/>
  <c r="G121" i="1" s="1"/>
  <c r="P89" i="1"/>
  <c r="H59" i="1" s="1"/>
  <c r="J59" i="1" s="1"/>
  <c r="Q89" i="1"/>
  <c r="F90" i="1" s="1"/>
  <c r="AB32" i="1"/>
  <c r="AB63" i="1" s="1"/>
  <c r="AB64" i="1" s="1"/>
  <c r="BB8" i="1"/>
  <c r="BB11" i="1"/>
  <c r="BB12" i="1"/>
  <c r="BB9" i="1"/>
  <c r="BB7" i="1"/>
  <c r="BB15" i="1"/>
  <c r="BB14" i="1"/>
  <c r="BB13" i="1"/>
  <c r="AB31" i="1"/>
  <c r="AB62" i="1" s="1"/>
  <c r="AB79" i="1" s="1"/>
  <c r="AB96" i="1" s="1"/>
  <c r="AB113" i="1" s="1"/>
  <c r="AB130" i="1" s="1"/>
  <c r="AB147" i="1" s="1"/>
  <c r="AB164" i="1" s="1"/>
  <c r="AB181" i="1" s="1"/>
  <c r="BB10" i="1"/>
  <c r="BB16" i="1"/>
  <c r="CJ32" i="1"/>
  <c r="AB60" i="1"/>
  <c r="CJ58" i="1" s="1"/>
  <c r="CJ36" i="1"/>
  <c r="CJ31" i="1"/>
  <c r="CJ28" i="1"/>
  <c r="CJ30" i="1"/>
  <c r="CJ29" i="1"/>
  <c r="CJ35" i="1"/>
  <c r="CK17" i="1"/>
  <c r="AC16" i="1" s="1"/>
  <c r="CK67" i="1"/>
  <c r="AC61" i="1"/>
  <c r="AC65" i="1" s="1"/>
  <c r="BC16" i="1"/>
  <c r="BC15" i="1"/>
  <c r="CK59" i="1"/>
  <c r="CK68" i="1"/>
  <c r="CK62" i="1"/>
  <c r="CK64" i="1"/>
  <c r="AC77" i="1"/>
  <c r="CK82" i="1" s="1"/>
  <c r="CK63" i="1"/>
  <c r="BC14" i="1"/>
  <c r="CK61" i="1"/>
  <c r="CK65" i="1"/>
  <c r="CK60" i="1"/>
  <c r="CK66" i="1"/>
  <c r="AB34" i="1"/>
  <c r="DE28" i="1" s="1"/>
  <c r="BC13" i="1"/>
  <c r="BC12" i="1"/>
  <c r="CJ68" i="1"/>
  <c r="BC7" i="1"/>
  <c r="DF7" i="1"/>
  <c r="BC11" i="1"/>
  <c r="BC6" i="1"/>
  <c r="DF6" i="1"/>
  <c r="BC10" i="1"/>
  <c r="BC9" i="1"/>
  <c r="DE6" i="1"/>
  <c r="CJ17" i="1"/>
  <c r="AB16" i="1" s="1"/>
  <c r="DF28" i="1"/>
  <c r="AB15" i="1"/>
  <c r="CK38" i="1"/>
  <c r="AC37" i="1" s="1"/>
  <c r="DF27" i="1"/>
  <c r="BC28" i="1"/>
  <c r="BC37" i="1"/>
  <c r="BC27" i="1"/>
  <c r="BC36" i="1"/>
  <c r="BC29" i="1"/>
  <c r="BC30" i="1"/>
  <c r="BC31" i="1"/>
  <c r="BC32" i="1"/>
  <c r="BC33" i="1"/>
  <c r="BC34" i="1"/>
  <c r="BC35" i="1"/>
  <c r="AC80" i="1"/>
  <c r="AC64" i="1"/>
  <c r="M60" i="1" l="1"/>
  <c r="H121" i="1"/>
  <c r="K121" i="1"/>
  <c r="I121" i="1"/>
  <c r="L121" i="1" s="1"/>
  <c r="J121" i="1"/>
  <c r="N60" i="1"/>
  <c r="K90" i="1"/>
  <c r="AB80" i="1"/>
  <c r="CJ65" i="1"/>
  <c r="CJ63" i="1"/>
  <c r="C60" i="1"/>
  <c r="G90" i="1"/>
  <c r="H90" i="1"/>
  <c r="F60" i="1" s="1"/>
  <c r="I90" i="1"/>
  <c r="G60" i="1" s="1"/>
  <c r="AB33" i="1"/>
  <c r="BB28" i="1" s="1"/>
  <c r="AB14" i="1"/>
  <c r="AB18" i="1" s="1"/>
  <c r="K43" i="1" s="1"/>
  <c r="CJ59" i="1"/>
  <c r="CJ67" i="1"/>
  <c r="AB77" i="1"/>
  <c r="CJ77" i="1" s="1"/>
  <c r="CJ66" i="1"/>
  <c r="CJ64" i="1"/>
  <c r="CJ61" i="1"/>
  <c r="AB61" i="1"/>
  <c r="AB65" i="1" s="1"/>
  <c r="AB67" i="1" s="1"/>
  <c r="CJ60" i="1"/>
  <c r="CJ62" i="1"/>
  <c r="AC14" i="1"/>
  <c r="AC18" i="1" s="1"/>
  <c r="AC35" i="1"/>
  <c r="AC39" i="1" s="1"/>
  <c r="AC38" i="1" s="1"/>
  <c r="CK80" i="1"/>
  <c r="CK83" i="1"/>
  <c r="CK84" i="1"/>
  <c r="AC78" i="1"/>
  <c r="AC82" i="1" s="1"/>
  <c r="AC84" i="1" s="1"/>
  <c r="CK76" i="1"/>
  <c r="CK75" i="1"/>
  <c r="CK85" i="1"/>
  <c r="BB32" i="1"/>
  <c r="BB37" i="1"/>
  <c r="BB34" i="1"/>
  <c r="BB35" i="1"/>
  <c r="BB29" i="1"/>
  <c r="CK77" i="1"/>
  <c r="BB30" i="1"/>
  <c r="CK78" i="1"/>
  <c r="BB31" i="1"/>
  <c r="BB33" i="1"/>
  <c r="CK79" i="1"/>
  <c r="AB36" i="1"/>
  <c r="CJ38" i="1"/>
  <c r="AB37" i="1" s="1"/>
  <c r="AC94" i="1"/>
  <c r="CK96" i="1" s="1"/>
  <c r="CK81" i="1"/>
  <c r="DE27" i="1"/>
  <c r="CJ81" i="1"/>
  <c r="BB36" i="1"/>
  <c r="BB27" i="1"/>
  <c r="AC67" i="1"/>
  <c r="DF59" i="1"/>
  <c r="DF58" i="1"/>
  <c r="CK69" i="1"/>
  <c r="AC68" i="1" s="1"/>
  <c r="BC59" i="1"/>
  <c r="BC60" i="1"/>
  <c r="BC68" i="1"/>
  <c r="BC58" i="1"/>
  <c r="BC61" i="1"/>
  <c r="BC62" i="1"/>
  <c r="BC63" i="1"/>
  <c r="BC64" i="1"/>
  <c r="BC65" i="1"/>
  <c r="BC67" i="1"/>
  <c r="BC66" i="1"/>
  <c r="AC97" i="1"/>
  <c r="AC81" i="1"/>
  <c r="BB61" i="1"/>
  <c r="BB60" i="1"/>
  <c r="BB59" i="1"/>
  <c r="BB64" i="1"/>
  <c r="BB58" i="1"/>
  <c r="BB68" i="1"/>
  <c r="BB67" i="1"/>
  <c r="BB66" i="1"/>
  <c r="BB65" i="1"/>
  <c r="BB63" i="1"/>
  <c r="BB62" i="1"/>
  <c r="AB97" i="1"/>
  <c r="AB81" i="1"/>
  <c r="E60" i="1" l="1"/>
  <c r="L90" i="1"/>
  <c r="O121" i="1"/>
  <c r="M121" i="1"/>
  <c r="N121" i="1" s="1"/>
  <c r="P121" i="1" s="1"/>
  <c r="I60" i="1"/>
  <c r="AB17" i="1"/>
  <c r="CJ76" i="1"/>
  <c r="CJ80" i="1"/>
  <c r="CJ69" i="1"/>
  <c r="AB68" i="1" s="1"/>
  <c r="DE58" i="1"/>
  <c r="CJ79" i="1"/>
  <c r="CJ82" i="1"/>
  <c r="AB78" i="1"/>
  <c r="AB82" i="1" s="1"/>
  <c r="DE76" i="1" s="1"/>
  <c r="CJ78" i="1"/>
  <c r="DE59" i="1"/>
  <c r="CJ75" i="1"/>
  <c r="CJ85" i="1"/>
  <c r="CJ83" i="1"/>
  <c r="CJ84" i="1"/>
  <c r="AB94" i="1"/>
  <c r="CJ102" i="1" s="1"/>
  <c r="AC66" i="1"/>
  <c r="AC70" i="1" s="1"/>
  <c r="AC69" i="1" s="1"/>
  <c r="CK102" i="1"/>
  <c r="AC111" i="1"/>
  <c r="AC128" i="1" s="1"/>
  <c r="CK93" i="1"/>
  <c r="CK92" i="1"/>
  <c r="CK101" i="1"/>
  <c r="CK99" i="1"/>
  <c r="CK97" i="1"/>
  <c r="CK94" i="1"/>
  <c r="AB35" i="1"/>
  <c r="AB39" i="1" s="1"/>
  <c r="AB38" i="1" s="1"/>
  <c r="CK98" i="1"/>
  <c r="AC95" i="1"/>
  <c r="AC99" i="1" s="1"/>
  <c r="CK100" i="1"/>
  <c r="AC17" i="1"/>
  <c r="CK95" i="1"/>
  <c r="AB66" i="1"/>
  <c r="CK86" i="1"/>
  <c r="AC85" i="1" s="1"/>
  <c r="DF75" i="1"/>
  <c r="DF76" i="1"/>
  <c r="AC114" i="1"/>
  <c r="AC98" i="1"/>
  <c r="BC78" i="1"/>
  <c r="BC77" i="1"/>
  <c r="BC85" i="1"/>
  <c r="BC84" i="1"/>
  <c r="BC83" i="1"/>
  <c r="BC75" i="1"/>
  <c r="BC76" i="1"/>
  <c r="BC79" i="1"/>
  <c r="BC80" i="1"/>
  <c r="BC81" i="1"/>
  <c r="BC82" i="1"/>
  <c r="BB79" i="1"/>
  <c r="BB78" i="1"/>
  <c r="BB77" i="1"/>
  <c r="BB76" i="1"/>
  <c r="BB75" i="1"/>
  <c r="BB85" i="1"/>
  <c r="BB84" i="1"/>
  <c r="BB83" i="1"/>
  <c r="BB80" i="1"/>
  <c r="BB81" i="1"/>
  <c r="BB82" i="1"/>
  <c r="AB114" i="1"/>
  <c r="AB98" i="1"/>
  <c r="CJ92" i="1" l="1"/>
  <c r="Q121" i="1"/>
  <c r="G122" i="1" s="1"/>
  <c r="O90" i="1"/>
  <c r="M90" i="1"/>
  <c r="N90" i="1" s="1"/>
  <c r="CJ98" i="1"/>
  <c r="CJ94" i="1"/>
  <c r="CJ86" i="1"/>
  <c r="AB85" i="1" s="1"/>
  <c r="AB84" i="1"/>
  <c r="DE75" i="1"/>
  <c r="CJ101" i="1"/>
  <c r="CJ97" i="1"/>
  <c r="CJ95" i="1"/>
  <c r="AB70" i="1"/>
  <c r="AB69" i="1" s="1"/>
  <c r="CJ96" i="1"/>
  <c r="CJ100" i="1"/>
  <c r="CJ99" i="1"/>
  <c r="AB111" i="1"/>
  <c r="CJ117" i="1" s="1"/>
  <c r="AB95" i="1"/>
  <c r="AB99" i="1" s="1"/>
  <c r="AB101" i="1" s="1"/>
  <c r="CJ93" i="1"/>
  <c r="CK110" i="1"/>
  <c r="CK109" i="1"/>
  <c r="CK115" i="1"/>
  <c r="CK119" i="1"/>
  <c r="CK114" i="1"/>
  <c r="CK117" i="1"/>
  <c r="CK118" i="1"/>
  <c r="AC112" i="1"/>
  <c r="AC116" i="1" s="1"/>
  <c r="AC118" i="1" s="1"/>
  <c r="CK111" i="1"/>
  <c r="CK113" i="1"/>
  <c r="CK112" i="1"/>
  <c r="CK116" i="1"/>
  <c r="AB83" i="1"/>
  <c r="AC83" i="1"/>
  <c r="AC87" i="1" s="1"/>
  <c r="AC86" i="1" s="1"/>
  <c r="AC101" i="1"/>
  <c r="DF92" i="1"/>
  <c r="DF93" i="1"/>
  <c r="CK103" i="1"/>
  <c r="AC102" i="1" s="1"/>
  <c r="BC94" i="1"/>
  <c r="BC92" i="1"/>
  <c r="BC100" i="1"/>
  <c r="BC95" i="1"/>
  <c r="BC96" i="1"/>
  <c r="BC102" i="1"/>
  <c r="BC101" i="1"/>
  <c r="BC93" i="1"/>
  <c r="BC97" i="1"/>
  <c r="BC98" i="1"/>
  <c r="BC99" i="1"/>
  <c r="AC131" i="1"/>
  <c r="AC115" i="1"/>
  <c r="CK134" i="1"/>
  <c r="CK133" i="1"/>
  <c r="CK132" i="1"/>
  <c r="AC129" i="1"/>
  <c r="CK131" i="1"/>
  <c r="CK130" i="1"/>
  <c r="CK128" i="1"/>
  <c r="CK129" i="1"/>
  <c r="CK127" i="1"/>
  <c r="CK136" i="1"/>
  <c r="CK135" i="1"/>
  <c r="CK126" i="1"/>
  <c r="AC145" i="1"/>
  <c r="BB97" i="1"/>
  <c r="BB96" i="1"/>
  <c r="BB95" i="1"/>
  <c r="BB94" i="1"/>
  <c r="BB93" i="1"/>
  <c r="BB92" i="1"/>
  <c r="BB100" i="1"/>
  <c r="BB102" i="1"/>
  <c r="BB101" i="1"/>
  <c r="BB98" i="1"/>
  <c r="BB99" i="1"/>
  <c r="AB131" i="1"/>
  <c r="AB115" i="1"/>
  <c r="J122" i="1" l="1"/>
  <c r="M61" i="1"/>
  <c r="H122" i="1"/>
  <c r="L122" i="1" s="1"/>
  <c r="K122" i="1"/>
  <c r="I122" i="1"/>
  <c r="P90" i="1"/>
  <c r="H60" i="1" s="1"/>
  <c r="J60" i="1" s="1"/>
  <c r="Q90" i="1"/>
  <c r="F91" i="1" s="1"/>
  <c r="CJ109" i="1"/>
  <c r="CJ115" i="1"/>
  <c r="CJ112" i="1"/>
  <c r="CJ114" i="1"/>
  <c r="CJ118" i="1"/>
  <c r="CJ116" i="1"/>
  <c r="CJ110" i="1"/>
  <c r="AB87" i="1"/>
  <c r="AB86" i="1" s="1"/>
  <c r="CJ119" i="1"/>
  <c r="AB112" i="1"/>
  <c r="AB116" i="1" s="1"/>
  <c r="DE109" i="1" s="1"/>
  <c r="CJ113" i="1"/>
  <c r="AB128" i="1"/>
  <c r="CJ130" i="1" s="1"/>
  <c r="CJ111" i="1"/>
  <c r="DE93" i="1"/>
  <c r="CJ103" i="1"/>
  <c r="AB102" i="1" s="1"/>
  <c r="DE92" i="1"/>
  <c r="AC100" i="1"/>
  <c r="AC104" i="1" s="1"/>
  <c r="AC103" i="1" s="1"/>
  <c r="CK120" i="1"/>
  <c r="AC119" i="1" s="1"/>
  <c r="DF109" i="1"/>
  <c r="DF110" i="1"/>
  <c r="AB100" i="1"/>
  <c r="AC133" i="1"/>
  <c r="DF127" i="1" s="1"/>
  <c r="BC113" i="1"/>
  <c r="BC118" i="1"/>
  <c r="BC114" i="1"/>
  <c r="BC110" i="1"/>
  <c r="BC111" i="1"/>
  <c r="BC112" i="1"/>
  <c r="BC119" i="1"/>
  <c r="BC117" i="1"/>
  <c r="BC109" i="1"/>
  <c r="BC115" i="1"/>
  <c r="BC116" i="1"/>
  <c r="AC148" i="1"/>
  <c r="AC132" i="1"/>
  <c r="CK143" i="1"/>
  <c r="AC146" i="1"/>
  <c r="AC162" i="1"/>
  <c r="CK153" i="1"/>
  <c r="CK152" i="1"/>
  <c r="CK148" i="1"/>
  <c r="CK145" i="1"/>
  <c r="CK151" i="1"/>
  <c r="CK150" i="1"/>
  <c r="CK149" i="1"/>
  <c r="CK146" i="1"/>
  <c r="CK147" i="1"/>
  <c r="CK144" i="1"/>
  <c r="BB115" i="1"/>
  <c r="BB114" i="1"/>
  <c r="BB117" i="1"/>
  <c r="BB113" i="1"/>
  <c r="BB112" i="1"/>
  <c r="BB111" i="1"/>
  <c r="BB110" i="1"/>
  <c r="BB109" i="1"/>
  <c r="BB119" i="1"/>
  <c r="BB116" i="1"/>
  <c r="BB118" i="1"/>
  <c r="AB148" i="1"/>
  <c r="AB132" i="1"/>
  <c r="N61" i="1" l="1"/>
  <c r="K91" i="1"/>
  <c r="C61" i="1"/>
  <c r="I91" i="1"/>
  <c r="G61" i="1" s="1"/>
  <c r="G91" i="1"/>
  <c r="H91" i="1"/>
  <c r="F61" i="1" s="1"/>
  <c r="O122" i="1"/>
  <c r="M122" i="1"/>
  <c r="N122" i="1" s="1"/>
  <c r="P122" i="1" s="1"/>
  <c r="AB145" i="1"/>
  <c r="CJ148" i="1" s="1"/>
  <c r="CJ128" i="1"/>
  <c r="AB129" i="1"/>
  <c r="AB133" i="1" s="1"/>
  <c r="AB135" i="1" s="1"/>
  <c r="AB118" i="1"/>
  <c r="CJ126" i="1"/>
  <c r="CJ134" i="1"/>
  <c r="CJ132" i="1"/>
  <c r="DE110" i="1"/>
  <c r="CJ120" i="1"/>
  <c r="AB119" i="1" s="1"/>
  <c r="CJ133" i="1"/>
  <c r="CJ135" i="1"/>
  <c r="CJ131" i="1"/>
  <c r="CJ136" i="1"/>
  <c r="CJ129" i="1"/>
  <c r="CJ127" i="1"/>
  <c r="AC117" i="1"/>
  <c r="AC121" i="1" s="1"/>
  <c r="AC120" i="1" s="1"/>
  <c r="CK137" i="1"/>
  <c r="AC136" i="1" s="1"/>
  <c r="AC135" i="1"/>
  <c r="AB104" i="1"/>
  <c r="AB103" i="1" s="1"/>
  <c r="AB117" i="1"/>
  <c r="DF126" i="1"/>
  <c r="AC165" i="1"/>
  <c r="AC149" i="1"/>
  <c r="CK160" i="1"/>
  <c r="CK170" i="1"/>
  <c r="CK169" i="1"/>
  <c r="CK168" i="1"/>
  <c r="CK161" i="1"/>
  <c r="CK167" i="1"/>
  <c r="CK165" i="1"/>
  <c r="CK164" i="1"/>
  <c r="CK166" i="1"/>
  <c r="AC163" i="1"/>
  <c r="CK163" i="1"/>
  <c r="CK162" i="1"/>
  <c r="AC179" i="1"/>
  <c r="AC150" i="1"/>
  <c r="BC135" i="1"/>
  <c r="BC126" i="1"/>
  <c r="BC127" i="1"/>
  <c r="BC128" i="1"/>
  <c r="BC129" i="1"/>
  <c r="BC132" i="1"/>
  <c r="BC130" i="1"/>
  <c r="BC131" i="1"/>
  <c r="BC136" i="1"/>
  <c r="BC133" i="1"/>
  <c r="BC134" i="1"/>
  <c r="BB133" i="1"/>
  <c r="BB135" i="1"/>
  <c r="BB132" i="1"/>
  <c r="BB131" i="1"/>
  <c r="BB130" i="1"/>
  <c r="BB129" i="1"/>
  <c r="BB128" i="1"/>
  <c r="BB127" i="1"/>
  <c r="BB126" i="1"/>
  <c r="BB136" i="1"/>
  <c r="BB134" i="1"/>
  <c r="AB165" i="1"/>
  <c r="AB149" i="1"/>
  <c r="Q122" i="1" l="1"/>
  <c r="G123" i="1" s="1"/>
  <c r="E61" i="1"/>
  <c r="L91" i="1"/>
  <c r="CJ147" i="1"/>
  <c r="K123" i="1"/>
  <c r="I61" i="1"/>
  <c r="DE127" i="1"/>
  <c r="CJ152" i="1"/>
  <c r="CJ145" i="1"/>
  <c r="CJ153" i="1"/>
  <c r="CJ150" i="1"/>
  <c r="CJ149" i="1"/>
  <c r="CJ137" i="1"/>
  <c r="AB136" i="1" s="1"/>
  <c r="DE126" i="1"/>
  <c r="CJ146" i="1"/>
  <c r="CJ143" i="1"/>
  <c r="AB146" i="1"/>
  <c r="AB150" i="1" s="1"/>
  <c r="DE144" i="1" s="1"/>
  <c r="CJ144" i="1"/>
  <c r="AB162" i="1"/>
  <c r="CJ167" i="1" s="1"/>
  <c r="CJ151" i="1"/>
  <c r="AB121" i="1"/>
  <c r="AB120" i="1" s="1"/>
  <c r="AC134" i="1"/>
  <c r="AC138" i="1" s="1"/>
  <c r="AC137" i="1" s="1"/>
  <c r="AC167" i="1"/>
  <c r="DF160" i="1" s="1"/>
  <c r="AC152" i="1"/>
  <c r="DF144" i="1"/>
  <c r="CK154" i="1"/>
  <c r="AC153" i="1" s="1"/>
  <c r="DF143" i="1"/>
  <c r="CK186" i="1"/>
  <c r="AC180" i="1"/>
  <c r="CK187" i="1"/>
  <c r="CK185" i="1"/>
  <c r="CK183" i="1"/>
  <c r="CK178" i="1"/>
  <c r="CK182" i="1"/>
  <c r="CK181" i="1"/>
  <c r="CK180" i="1"/>
  <c r="CK184" i="1"/>
  <c r="CK179" i="1"/>
  <c r="CK177" i="1"/>
  <c r="BC150" i="1"/>
  <c r="BC144" i="1"/>
  <c r="BC145" i="1"/>
  <c r="BC146" i="1"/>
  <c r="BC147" i="1"/>
  <c r="BC148" i="1"/>
  <c r="BC149" i="1"/>
  <c r="BC143" i="1"/>
  <c r="BC151" i="1"/>
  <c r="BC152" i="1"/>
  <c r="BC153" i="1"/>
  <c r="AC182" i="1"/>
  <c r="AC183" i="1" s="1"/>
  <c r="AC166" i="1"/>
  <c r="AB134" i="1"/>
  <c r="BB151" i="1"/>
  <c r="BB150" i="1"/>
  <c r="BB149" i="1"/>
  <c r="BB148" i="1"/>
  <c r="BB147" i="1"/>
  <c r="BB146" i="1"/>
  <c r="BB153" i="1"/>
  <c r="BB145" i="1"/>
  <c r="BB144" i="1"/>
  <c r="BB143" i="1"/>
  <c r="BB152" i="1"/>
  <c r="AB182" i="1"/>
  <c r="AB183" i="1" s="1"/>
  <c r="AB166" i="1"/>
  <c r="H123" i="1" l="1"/>
  <c r="M62" i="1"/>
  <c r="J123" i="1"/>
  <c r="I123" i="1"/>
  <c r="L123" i="1" s="1"/>
  <c r="O91" i="1"/>
  <c r="M91" i="1"/>
  <c r="N91" i="1" s="1"/>
  <c r="AB179" i="1"/>
  <c r="AB180" i="1" s="1"/>
  <c r="AB184" i="1" s="1"/>
  <c r="DE177" i="1" s="1"/>
  <c r="CJ154" i="1"/>
  <c r="AB153" i="1" s="1"/>
  <c r="CJ164" i="1"/>
  <c r="CJ160" i="1"/>
  <c r="CJ163" i="1"/>
  <c r="AB163" i="1"/>
  <c r="AB167" i="1" s="1"/>
  <c r="AB169" i="1" s="1"/>
  <c r="DE143" i="1"/>
  <c r="AB152" i="1"/>
  <c r="CJ170" i="1"/>
  <c r="CJ162" i="1"/>
  <c r="CJ168" i="1"/>
  <c r="CJ166" i="1"/>
  <c r="CJ169" i="1"/>
  <c r="CJ165" i="1"/>
  <c r="CJ161" i="1"/>
  <c r="CJ181" i="1"/>
  <c r="DF161" i="1"/>
  <c r="CK171" i="1"/>
  <c r="AC170" i="1" s="1"/>
  <c r="AC169" i="1"/>
  <c r="AC151" i="1"/>
  <c r="AC155" i="1" s="1"/>
  <c r="AB138" i="1"/>
  <c r="AB137" i="1" s="1"/>
  <c r="BC161" i="1"/>
  <c r="BC162" i="1"/>
  <c r="BC163" i="1"/>
  <c r="BC169" i="1"/>
  <c r="BC164" i="1"/>
  <c r="BC165" i="1"/>
  <c r="BC168" i="1"/>
  <c r="BC166" i="1"/>
  <c r="BC167" i="1"/>
  <c r="BC170" i="1"/>
  <c r="BC160" i="1"/>
  <c r="BC184" i="1"/>
  <c r="BC181" i="1"/>
  <c r="BC186" i="1"/>
  <c r="BC177" i="1"/>
  <c r="BC185" i="1"/>
  <c r="BC187" i="1"/>
  <c r="BC183" i="1"/>
  <c r="BC178" i="1"/>
  <c r="BC179" i="1"/>
  <c r="BC180" i="1"/>
  <c r="BC182" i="1"/>
  <c r="AC184" i="1"/>
  <c r="AB151" i="1"/>
  <c r="BB169" i="1"/>
  <c r="BB168" i="1"/>
  <c r="BB160" i="1"/>
  <c r="BB167" i="1"/>
  <c r="BB166" i="1"/>
  <c r="BB165" i="1"/>
  <c r="BB164" i="1"/>
  <c r="BB163" i="1"/>
  <c r="BB162" i="1"/>
  <c r="BB161" i="1"/>
  <c r="BB170" i="1"/>
  <c r="BB187" i="1"/>
  <c r="BB186" i="1"/>
  <c r="BB185" i="1"/>
  <c r="BB184" i="1"/>
  <c r="BB183" i="1"/>
  <c r="BB178" i="1"/>
  <c r="BB182" i="1"/>
  <c r="BB181" i="1"/>
  <c r="BB177" i="1"/>
  <c r="BB180" i="1"/>
  <c r="BB179" i="1"/>
  <c r="CJ182" i="1" l="1"/>
  <c r="CJ180" i="1"/>
  <c r="DE160" i="1"/>
  <c r="DE161" i="1"/>
  <c r="P91" i="1"/>
  <c r="H61" i="1" s="1"/>
  <c r="J61" i="1" s="1"/>
  <c r="Q91" i="1"/>
  <c r="F92" i="1" s="1"/>
  <c r="N62" i="1" s="1"/>
  <c r="M123" i="1"/>
  <c r="N123" i="1" s="1"/>
  <c r="O123" i="1"/>
  <c r="CJ184" i="1"/>
  <c r="CJ177" i="1"/>
  <c r="CJ187" i="1"/>
  <c r="CJ183" i="1"/>
  <c r="CJ179" i="1"/>
  <c r="CJ188" i="1" s="1"/>
  <c r="AB187" i="1" s="1"/>
  <c r="CJ185" i="1"/>
  <c r="CJ178" i="1"/>
  <c r="CJ186" i="1"/>
  <c r="CJ171" i="1"/>
  <c r="AB170" i="1" s="1"/>
  <c r="AC154" i="1"/>
  <c r="AC168" i="1"/>
  <c r="AC172" i="1" s="1"/>
  <c r="AC171" i="1" s="1"/>
  <c r="AB155" i="1"/>
  <c r="AB168" i="1"/>
  <c r="DE178" i="1"/>
  <c r="AC186" i="1"/>
  <c r="AC185" i="1"/>
  <c r="CK188" i="1"/>
  <c r="AC187" i="1" s="1"/>
  <c r="DF177" i="1"/>
  <c r="DF178" i="1"/>
  <c r="AB186" i="1"/>
  <c r="AB185" i="1"/>
  <c r="P123" i="1" l="1"/>
  <c r="K44" i="1"/>
  <c r="Q123" i="1"/>
  <c r="G124" i="1" s="1"/>
  <c r="C62" i="1"/>
  <c r="G92" i="1"/>
  <c r="I92" i="1"/>
  <c r="K92" i="1"/>
  <c r="H92" i="1"/>
  <c r="F62" i="1" s="1"/>
  <c r="AB154" i="1"/>
  <c r="AB189" i="1"/>
  <c r="AB188" i="1" s="1"/>
  <c r="AC189" i="1"/>
  <c r="AC188" i="1" s="1"/>
  <c r="AB172" i="1"/>
  <c r="AB171" i="1" s="1"/>
  <c r="I124" i="1" l="1"/>
  <c r="M63" i="1"/>
  <c r="I8" i="3"/>
  <c r="K45" i="1"/>
  <c r="K124" i="1"/>
  <c r="J124" i="1"/>
  <c r="H124" i="1"/>
  <c r="L124" i="1" s="1"/>
  <c r="M124" i="1" s="1"/>
  <c r="N124" i="1" s="1"/>
  <c r="I62" i="1"/>
  <c r="E62" i="1"/>
  <c r="L92" i="1"/>
  <c r="G62" i="1"/>
  <c r="I7" i="3" l="1"/>
  <c r="I9" i="3"/>
  <c r="O124" i="1"/>
  <c r="Q124" i="1" s="1"/>
  <c r="O92" i="1"/>
  <c r="M92" i="1"/>
  <c r="N92" i="1" s="1"/>
  <c r="G125" i="1" l="1"/>
  <c r="I125" i="1" s="1"/>
  <c r="P124" i="1"/>
  <c r="P92" i="1"/>
  <c r="H62" i="1" s="1"/>
  <c r="J62" i="1" s="1"/>
  <c r="Q92" i="1"/>
  <c r="F93" i="1" s="1"/>
  <c r="N63" i="1" s="1"/>
  <c r="K125" i="1" l="1"/>
  <c r="M64" i="1"/>
  <c r="J125" i="1"/>
  <c r="H125" i="1"/>
  <c r="L125" i="1" s="1"/>
  <c r="K93" i="1"/>
  <c r="I93" i="1"/>
  <c r="H93" i="1"/>
  <c r="F63" i="1" s="1"/>
  <c r="C63" i="1"/>
  <c r="G93" i="1"/>
  <c r="M125" i="1" l="1"/>
  <c r="N125" i="1" s="1"/>
  <c r="O125" i="1"/>
  <c r="G63" i="1"/>
  <c r="J7" i="1"/>
  <c r="E63" i="1"/>
  <c r="L93" i="1"/>
  <c r="I7" i="1"/>
  <c r="I63" i="1"/>
  <c r="P125" i="1" l="1"/>
  <c r="Q125" i="1"/>
  <c r="G126" i="1" s="1"/>
  <c r="O93" i="1"/>
  <c r="M93" i="1"/>
  <c r="N93" i="1" s="1"/>
  <c r="M65" i="1" l="1"/>
  <c r="I126" i="1"/>
  <c r="K126" i="1"/>
  <c r="J126" i="1"/>
  <c r="H126" i="1"/>
  <c r="P93" i="1"/>
  <c r="H63" i="1" s="1"/>
  <c r="J63" i="1" s="1"/>
  <c r="Q93" i="1"/>
  <c r="F94" i="1" s="1"/>
  <c r="N64" i="1" s="1"/>
  <c r="L126" i="1" l="1"/>
  <c r="H94" i="1"/>
  <c r="F64" i="1" s="1"/>
  <c r="K94" i="1"/>
  <c r="I64" i="1" s="1"/>
  <c r="I94" i="1"/>
  <c r="G64" i="1" s="1"/>
  <c r="G94" i="1"/>
  <c r="C64" i="1"/>
  <c r="O126" i="1" l="1"/>
  <c r="M126" i="1"/>
  <c r="N126" i="1" s="1"/>
  <c r="L94" i="1"/>
  <c r="E64" i="1"/>
  <c r="P126" i="1" l="1"/>
  <c r="Q126" i="1"/>
  <c r="G127" i="1" s="1"/>
  <c r="O94" i="1"/>
  <c r="M94" i="1"/>
  <c r="N94" i="1" s="1"/>
  <c r="I127" i="1" l="1"/>
  <c r="M66" i="1"/>
  <c r="J127" i="1"/>
  <c r="H127" i="1"/>
  <c r="K127" i="1"/>
  <c r="Q94" i="1"/>
  <c r="F95" i="1" s="1"/>
  <c r="N65" i="1" s="1"/>
  <c r="P94" i="1"/>
  <c r="H64" i="1" s="1"/>
  <c r="J64" i="1" s="1"/>
  <c r="L127" i="1" l="1"/>
  <c r="G95" i="1"/>
  <c r="K95" i="1"/>
  <c r="C65" i="1"/>
  <c r="I95" i="1"/>
  <c r="G65" i="1" s="1"/>
  <c r="H95" i="1"/>
  <c r="F65" i="1" s="1"/>
  <c r="AH6" i="1"/>
  <c r="BY10" i="1" s="1"/>
  <c r="M127" i="1" l="1"/>
  <c r="N127" i="1" s="1"/>
  <c r="O127" i="1"/>
  <c r="I65" i="1"/>
  <c r="L95" i="1"/>
  <c r="E65" i="1"/>
  <c r="BY7" i="1"/>
  <c r="BY8" i="1"/>
  <c r="BY11" i="1"/>
  <c r="AH27" i="1"/>
  <c r="BY37" i="1" s="1"/>
  <c r="BY14" i="1"/>
  <c r="BY9" i="1"/>
  <c r="BY12" i="1"/>
  <c r="BY6" i="1"/>
  <c r="BY15" i="1"/>
  <c r="BY16" i="1"/>
  <c r="BY13" i="1"/>
  <c r="AH7" i="1"/>
  <c r="AH13" i="1" s="1"/>
  <c r="CP17" i="1" s="1"/>
  <c r="AH16" i="1" s="1"/>
  <c r="P127" i="1" l="1"/>
  <c r="Q127" i="1"/>
  <c r="G128" i="1" s="1"/>
  <c r="M95" i="1"/>
  <c r="N95" i="1" s="1"/>
  <c r="O95" i="1"/>
  <c r="DK7" i="1"/>
  <c r="BY27" i="1"/>
  <c r="AH14" i="1"/>
  <c r="AH28" i="1"/>
  <c r="AH34" i="1" s="1"/>
  <c r="CP38" i="1" s="1"/>
  <c r="AH37" i="1" s="1"/>
  <c r="BY36" i="1"/>
  <c r="BY28" i="1"/>
  <c r="BY32" i="1"/>
  <c r="AH58" i="1"/>
  <c r="AH59" i="1" s="1"/>
  <c r="AH65" i="1" s="1"/>
  <c r="BY35" i="1"/>
  <c r="BY30" i="1"/>
  <c r="BY34" i="1"/>
  <c r="BY33" i="1"/>
  <c r="BY29" i="1"/>
  <c r="BY31" i="1"/>
  <c r="AH15" i="1"/>
  <c r="DK6" i="1"/>
  <c r="I128" i="1" l="1"/>
  <c r="M67" i="1"/>
  <c r="J128" i="1"/>
  <c r="K128" i="1"/>
  <c r="H128" i="1"/>
  <c r="L128" i="1" s="1"/>
  <c r="P95" i="1"/>
  <c r="H65" i="1" s="1"/>
  <c r="J65" i="1" s="1"/>
  <c r="Q95" i="1"/>
  <c r="F96" i="1" s="1"/>
  <c r="N66" i="1" s="1"/>
  <c r="BY67" i="1"/>
  <c r="AH75" i="1"/>
  <c r="BY80" i="1" s="1"/>
  <c r="DK27" i="1"/>
  <c r="BY60" i="1"/>
  <c r="DK28" i="1"/>
  <c r="AH36" i="1"/>
  <c r="BY68" i="1"/>
  <c r="BY64" i="1"/>
  <c r="BY65" i="1"/>
  <c r="AH35" i="1"/>
  <c r="BY62" i="1"/>
  <c r="BY63" i="1"/>
  <c r="BY59" i="1"/>
  <c r="BY61" i="1"/>
  <c r="BY66" i="1"/>
  <c r="BY58" i="1"/>
  <c r="AH18" i="1"/>
  <c r="AH17" i="1" s="1"/>
  <c r="BY81" i="1"/>
  <c r="DK58" i="1"/>
  <c r="CP69" i="1"/>
  <c r="AH68" i="1" s="1"/>
  <c r="AH66" i="1"/>
  <c r="DK59" i="1"/>
  <c r="O128" i="1" l="1"/>
  <c r="M128" i="1"/>
  <c r="N128" i="1" s="1"/>
  <c r="AH67" i="1"/>
  <c r="AH70" i="1" s="1"/>
  <c r="AH69" i="1" s="1"/>
  <c r="BY79" i="1"/>
  <c r="BY84" i="1"/>
  <c r="BY83" i="1"/>
  <c r="AH92" i="1"/>
  <c r="BY94" i="1" s="1"/>
  <c r="BY82" i="1"/>
  <c r="BY76" i="1"/>
  <c r="BY78" i="1"/>
  <c r="BY75" i="1"/>
  <c r="AH76" i="1"/>
  <c r="AH82" i="1" s="1"/>
  <c r="CP86" i="1" s="1"/>
  <c r="AH85" i="1" s="1"/>
  <c r="BY77" i="1"/>
  <c r="BY85" i="1"/>
  <c r="C66" i="1"/>
  <c r="K96" i="1"/>
  <c r="G96" i="1"/>
  <c r="H96" i="1"/>
  <c r="F66" i="1" s="1"/>
  <c r="I96" i="1"/>
  <c r="AH39" i="1"/>
  <c r="AH38" i="1" s="1"/>
  <c r="P128" i="1" l="1"/>
  <c r="DK75" i="1"/>
  <c r="DK76" i="1"/>
  <c r="AH84" i="1"/>
  <c r="AH87" i="1" s="1"/>
  <c r="AH86" i="1" s="1"/>
  <c r="AH109" i="1"/>
  <c r="BY118" i="1" s="1"/>
  <c r="Q128" i="1"/>
  <c r="G129" i="1" s="1"/>
  <c r="AH83" i="1"/>
  <c r="BY98" i="1"/>
  <c r="BY93" i="1"/>
  <c r="BY99" i="1"/>
  <c r="BY102" i="1"/>
  <c r="BY96" i="1"/>
  <c r="AH93" i="1"/>
  <c r="AH99" i="1" s="1"/>
  <c r="CP103" i="1" s="1"/>
  <c r="AH102" i="1" s="1"/>
  <c r="BY100" i="1"/>
  <c r="BY95" i="1"/>
  <c r="BY101" i="1"/>
  <c r="BY92" i="1"/>
  <c r="BY97" i="1"/>
  <c r="I66" i="1"/>
  <c r="E66" i="1"/>
  <c r="L96" i="1"/>
  <c r="G66" i="1"/>
  <c r="AH110" i="1"/>
  <c r="AH116" i="1" s="1"/>
  <c r="BY117" i="1"/>
  <c r="BY110" i="1" l="1"/>
  <c r="AH126" i="1"/>
  <c r="BY116" i="1"/>
  <c r="BY112" i="1"/>
  <c r="BY109" i="1"/>
  <c r="BY114" i="1"/>
  <c r="BY113" i="1"/>
  <c r="BY119" i="1"/>
  <c r="BY115" i="1"/>
  <c r="BY111" i="1"/>
  <c r="DK93" i="1"/>
  <c r="M68" i="1"/>
  <c r="I129" i="1"/>
  <c r="K129" i="1"/>
  <c r="J129" i="1"/>
  <c r="H129" i="1"/>
  <c r="AH101" i="1"/>
  <c r="DK92" i="1"/>
  <c r="AH100" i="1"/>
  <c r="M96" i="1"/>
  <c r="N96" i="1" s="1"/>
  <c r="O96" i="1"/>
  <c r="AH127" i="1"/>
  <c r="AH133" i="1" s="1"/>
  <c r="BY136" i="1"/>
  <c r="BY133" i="1"/>
  <c r="BY131" i="1"/>
  <c r="BY130" i="1"/>
  <c r="BY128" i="1"/>
  <c r="BY126" i="1"/>
  <c r="BY135" i="1"/>
  <c r="BY134" i="1"/>
  <c r="BY132" i="1"/>
  <c r="AH143" i="1"/>
  <c r="BY129" i="1"/>
  <c r="BY127" i="1"/>
  <c r="AH118" i="1"/>
  <c r="DK110" i="1"/>
  <c r="CP120" i="1"/>
  <c r="AH119" i="1" s="1"/>
  <c r="AH117" i="1"/>
  <c r="DK109" i="1"/>
  <c r="L129" i="1" l="1"/>
  <c r="AH104" i="1"/>
  <c r="AH103" i="1" s="1"/>
  <c r="P96" i="1"/>
  <c r="H66" i="1" s="1"/>
  <c r="J66" i="1" s="1"/>
  <c r="Q96" i="1"/>
  <c r="F97" i="1" s="1"/>
  <c r="N67" i="1" s="1"/>
  <c r="AH121" i="1"/>
  <c r="AH120" i="1" s="1"/>
  <c r="BY153" i="1"/>
  <c r="BY152" i="1"/>
  <c r="BY151" i="1"/>
  <c r="AH160" i="1"/>
  <c r="BY148" i="1"/>
  <c r="AH144" i="1"/>
  <c r="AH150" i="1" s="1"/>
  <c r="BY145" i="1"/>
  <c r="BY144" i="1"/>
  <c r="BY143" i="1"/>
  <c r="BY150" i="1"/>
  <c r="BY149" i="1"/>
  <c r="BY147" i="1"/>
  <c r="BY146" i="1"/>
  <c r="AH135" i="1"/>
  <c r="DK126" i="1"/>
  <c r="AH134" i="1"/>
  <c r="DK127" i="1"/>
  <c r="CP137" i="1"/>
  <c r="AH136" i="1" s="1"/>
  <c r="M129" i="1" l="1"/>
  <c r="N129" i="1" s="1"/>
  <c r="O129" i="1"/>
  <c r="C67" i="1"/>
  <c r="H97" i="1"/>
  <c r="F67" i="1" s="1"/>
  <c r="K97" i="1"/>
  <c r="I67" i="1" s="1"/>
  <c r="G97" i="1"/>
  <c r="I97" i="1"/>
  <c r="AH138" i="1"/>
  <c r="AH137" i="1" s="1"/>
  <c r="AH151" i="1"/>
  <c r="DK144" i="1"/>
  <c r="DK143" i="1"/>
  <c r="AH152" i="1"/>
  <c r="CP154" i="1"/>
  <c r="AH153" i="1" s="1"/>
  <c r="BY169" i="1"/>
  <c r="BY168" i="1"/>
  <c r="BY166" i="1"/>
  <c r="BY160" i="1"/>
  <c r="BY163" i="1"/>
  <c r="AH177" i="1"/>
  <c r="BY170" i="1"/>
  <c r="AH161" i="1"/>
  <c r="AH167" i="1" s="1"/>
  <c r="BY167" i="1"/>
  <c r="BY165" i="1"/>
  <c r="BY164" i="1"/>
  <c r="BY162" i="1"/>
  <c r="BY161" i="1"/>
  <c r="Q129" i="1" l="1"/>
  <c r="G130" i="1" s="1"/>
  <c r="M69" i="1" s="1"/>
  <c r="I130" i="1"/>
  <c r="K130" i="1"/>
  <c r="J130" i="1"/>
  <c r="P129" i="1"/>
  <c r="E67" i="1"/>
  <c r="L97" i="1"/>
  <c r="G67" i="1"/>
  <c r="AH169" i="1"/>
  <c r="DK161" i="1"/>
  <c r="CP171" i="1"/>
  <c r="AH170" i="1" s="1"/>
  <c r="AH168" i="1"/>
  <c r="DK160" i="1"/>
  <c r="BY180" i="1"/>
  <c r="BY178" i="1"/>
  <c r="BY187" i="1"/>
  <c r="BY186" i="1"/>
  <c r="BY184" i="1"/>
  <c r="BY182" i="1"/>
  <c r="AH178" i="1"/>
  <c r="AH184" i="1" s="1"/>
  <c r="BY177" i="1"/>
  <c r="BY179" i="1"/>
  <c r="BY185" i="1"/>
  <c r="BY183" i="1"/>
  <c r="BY181" i="1"/>
  <c r="AH155" i="1"/>
  <c r="AH154" i="1" s="1"/>
  <c r="H130" i="1" l="1"/>
  <c r="L130" i="1" s="1"/>
  <c r="M97" i="1"/>
  <c r="N97" i="1" s="1"/>
  <c r="O97" i="1"/>
  <c r="AH172" i="1"/>
  <c r="AH171" i="1" s="1"/>
  <c r="AH185" i="1"/>
  <c r="DK177" i="1"/>
  <c r="AH186" i="1"/>
  <c r="DK178" i="1"/>
  <c r="CP188" i="1"/>
  <c r="AH187" i="1" s="1"/>
  <c r="O130" i="1" l="1"/>
  <c r="M130" i="1"/>
  <c r="N130" i="1" s="1"/>
  <c r="Q97" i="1"/>
  <c r="F98" i="1" s="1"/>
  <c r="P97" i="1"/>
  <c r="H67" i="1" s="1"/>
  <c r="J67" i="1" s="1"/>
  <c r="AH189" i="1"/>
  <c r="AH188" i="1" s="1"/>
  <c r="P130" i="1" l="1"/>
  <c r="Q130" i="1"/>
  <c r="G131" i="1" s="1"/>
  <c r="C68" i="1"/>
  <c r="N68" i="1"/>
  <c r="I98" i="1"/>
  <c r="J8" i="1" s="1"/>
  <c r="G98" i="1"/>
  <c r="H98" i="1"/>
  <c r="F68" i="1" s="1"/>
  <c r="K98" i="1"/>
  <c r="I68" i="1" s="1"/>
  <c r="M70" i="1" l="1"/>
  <c r="I131" i="1"/>
  <c r="J131" i="1"/>
  <c r="H131" i="1"/>
  <c r="L131" i="1" s="1"/>
  <c r="K131" i="1"/>
  <c r="G68" i="1"/>
  <c r="I8" i="1"/>
  <c r="L98" i="1"/>
  <c r="M98" i="1" s="1"/>
  <c r="N98" i="1" s="1"/>
  <c r="E68" i="1"/>
  <c r="M131" i="1" l="1"/>
  <c r="N131" i="1" s="1"/>
  <c r="O131" i="1"/>
  <c r="O98" i="1"/>
  <c r="P98" i="1" s="1"/>
  <c r="H68" i="1" s="1"/>
  <c r="J68" i="1" s="1"/>
  <c r="Q131" i="1" l="1"/>
  <c r="G132" i="1" s="1"/>
  <c r="K132" i="1" s="1"/>
  <c r="H132" i="1"/>
  <c r="M71" i="1"/>
  <c r="J132" i="1"/>
  <c r="G133" i="1"/>
  <c r="I132" i="1"/>
  <c r="P131" i="1"/>
  <c r="Q98" i="1"/>
  <c r="F99" i="1" s="1"/>
  <c r="L132" i="1" l="1"/>
  <c r="J133" i="1"/>
  <c r="I133" i="1"/>
  <c r="M72" i="1"/>
  <c r="H133" i="1"/>
  <c r="K133" i="1"/>
  <c r="C69" i="1"/>
  <c r="N69" i="1"/>
  <c r="K99" i="1"/>
  <c r="I69" i="1" s="1"/>
  <c r="I99" i="1"/>
  <c r="G69" i="1" s="1"/>
  <c r="G99" i="1"/>
  <c r="E69" i="1" s="1"/>
  <c r="H99" i="1"/>
  <c r="F69" i="1" s="1"/>
  <c r="L133" i="1" l="1"/>
  <c r="O132" i="1"/>
  <c r="M132" i="1"/>
  <c r="N132" i="1" s="1"/>
  <c r="L99" i="1"/>
  <c r="O99" i="1" s="1"/>
  <c r="P132" i="1" l="1"/>
  <c r="Q132" i="1"/>
  <c r="O133" i="1"/>
  <c r="M133" i="1"/>
  <c r="N133" i="1" s="1"/>
  <c r="M99" i="1"/>
  <c r="N99" i="1" s="1"/>
  <c r="P99" i="1" s="1"/>
  <c r="H69" i="1" s="1"/>
  <c r="J69" i="1" s="1"/>
  <c r="P133" i="1" l="1"/>
  <c r="Q133" i="1"/>
  <c r="G134" i="1" s="1"/>
  <c r="Q99" i="1"/>
  <c r="F100" i="1" s="1"/>
  <c r="M73" i="1" l="1"/>
  <c r="J134" i="1"/>
  <c r="I134" i="1"/>
  <c r="H134" i="1"/>
  <c r="L134" i="1" s="1"/>
  <c r="K134" i="1"/>
  <c r="G100" i="1"/>
  <c r="N70" i="1"/>
  <c r="K100" i="1"/>
  <c r="I70" i="1" s="1"/>
  <c r="C70" i="1"/>
  <c r="I100" i="1"/>
  <c r="G70" i="1" s="1"/>
  <c r="H100" i="1"/>
  <c r="F70" i="1" s="1"/>
  <c r="E70" i="1"/>
  <c r="O134" i="1" l="1"/>
  <c r="M134" i="1"/>
  <c r="N134" i="1" s="1"/>
  <c r="L100" i="1"/>
  <c r="O100" i="1" s="1"/>
  <c r="P134" i="1" l="1"/>
  <c r="Q134" i="1"/>
  <c r="G135" i="1" s="1"/>
  <c r="M100" i="1"/>
  <c r="N100" i="1" s="1"/>
  <c r="P100" i="1" s="1"/>
  <c r="H70" i="1" s="1"/>
  <c r="J70" i="1" s="1"/>
  <c r="Q100" i="1" l="1"/>
  <c r="F101" i="1" s="1"/>
  <c r="N71" i="1" s="1"/>
  <c r="I135" i="1"/>
  <c r="H135" i="1"/>
  <c r="L135" i="1" s="1"/>
  <c r="J135" i="1"/>
  <c r="M74" i="1"/>
  <c r="K135" i="1"/>
  <c r="K101" i="1"/>
  <c r="I71" i="1" s="1"/>
  <c r="H101" i="1"/>
  <c r="F71" i="1" s="1"/>
  <c r="G101" i="1"/>
  <c r="I101" i="1"/>
  <c r="C71" i="1"/>
  <c r="M135" i="1" l="1"/>
  <c r="N135" i="1" s="1"/>
  <c r="O135" i="1"/>
  <c r="G71" i="1"/>
  <c r="E71" i="1"/>
  <c r="L101" i="1"/>
  <c r="Q135" i="1" l="1"/>
  <c r="G136" i="1" s="1"/>
  <c r="K136" i="1" s="1"/>
  <c r="P135" i="1"/>
  <c r="M101" i="1"/>
  <c r="N101" i="1" s="1"/>
  <c r="O101" i="1"/>
  <c r="J136" i="1" l="1"/>
  <c r="M75" i="1"/>
  <c r="H136" i="1"/>
  <c r="I136" i="1"/>
  <c r="P101" i="1"/>
  <c r="H71" i="1" s="1"/>
  <c r="J71" i="1" s="1"/>
  <c r="Q101" i="1"/>
  <c r="F102" i="1" s="1"/>
  <c r="N72" i="1" s="1"/>
  <c r="L136" i="1" l="1"/>
  <c r="M136" i="1" s="1"/>
  <c r="N136" i="1" s="1"/>
  <c r="O136" i="1"/>
  <c r="Q136" i="1" s="1"/>
  <c r="G137" i="1" s="1"/>
  <c r="C72" i="1"/>
  <c r="H102" i="1"/>
  <c r="F72" i="1" s="1"/>
  <c r="I102" i="1"/>
  <c r="G102" i="1"/>
  <c r="K102" i="1"/>
  <c r="I72" i="1" s="1"/>
  <c r="M76" i="1" l="1"/>
  <c r="H137" i="1"/>
  <c r="L137" i="1" s="1"/>
  <c r="J137" i="1"/>
  <c r="K137" i="1"/>
  <c r="I137" i="1"/>
  <c r="P136" i="1"/>
  <c r="E72" i="1"/>
  <c r="L102" i="1"/>
  <c r="G72" i="1"/>
  <c r="M102" i="1" l="1"/>
  <c r="N102" i="1" s="1"/>
  <c r="O102" i="1"/>
  <c r="O137" i="1"/>
  <c r="M137" i="1"/>
  <c r="N137" i="1" s="1"/>
  <c r="P137" i="1" s="1"/>
  <c r="P102" i="1" l="1"/>
  <c r="H72" i="1" s="1"/>
  <c r="J72" i="1" s="1"/>
  <c r="Q102" i="1"/>
  <c r="F103" i="1" s="1"/>
  <c r="N73" i="1" s="1"/>
  <c r="Q137" i="1"/>
  <c r="G138" i="1" s="1"/>
  <c r="M77" i="1" l="1"/>
  <c r="C73" i="1"/>
  <c r="K103" i="1"/>
  <c r="I73" i="1" s="1"/>
  <c r="H103" i="1"/>
  <c r="F73" i="1" s="1"/>
  <c r="G103" i="1"/>
  <c r="I103" i="1"/>
  <c r="K138" i="1"/>
  <c r="E73" i="1" l="1"/>
  <c r="L103" i="1"/>
  <c r="I9" i="1"/>
  <c r="G73" i="1"/>
  <c r="J9" i="1"/>
  <c r="I138" i="1"/>
  <c r="J138" i="1"/>
  <c r="H138" i="1"/>
  <c r="M103" i="1" l="1"/>
  <c r="N103" i="1" s="1"/>
  <c r="O103" i="1"/>
  <c r="L138" i="1"/>
  <c r="M138" i="1" s="1"/>
  <c r="N138" i="1" s="1"/>
  <c r="Q103" i="1" l="1"/>
  <c r="F104" i="1" s="1"/>
  <c r="P103" i="1"/>
  <c r="H73" i="1" s="1"/>
  <c r="J73" i="1" s="1"/>
  <c r="O138" i="1"/>
  <c r="Q138" i="1" s="1"/>
  <c r="G139" i="1" s="1"/>
  <c r="M78" i="1" l="1"/>
  <c r="K139" i="1"/>
  <c r="H104" i="1"/>
  <c r="F74" i="1" s="1"/>
  <c r="N74" i="1"/>
  <c r="P138" i="1"/>
  <c r="G104" i="1"/>
  <c r="E74" i="1" s="1"/>
  <c r="K104" i="1"/>
  <c r="I74" i="1" s="1"/>
  <c r="C74" i="1"/>
  <c r="I104" i="1"/>
  <c r="G74" i="1" s="1"/>
  <c r="J139" i="1"/>
  <c r="H139" i="1"/>
  <c r="I139" i="1"/>
  <c r="L104" i="1" l="1"/>
  <c r="M104" i="1" s="1"/>
  <c r="N104" i="1" s="1"/>
  <c r="L139" i="1"/>
  <c r="M139" i="1" s="1"/>
  <c r="N139" i="1" s="1"/>
  <c r="O104" i="1" l="1"/>
  <c r="P104" i="1" s="1"/>
  <c r="H74" i="1" s="1"/>
  <c r="J74" i="1" s="1"/>
  <c r="O139" i="1"/>
  <c r="P139" i="1" s="1"/>
  <c r="Q104" i="1" l="1"/>
  <c r="F105" i="1" s="1"/>
  <c r="K105" i="1" s="1"/>
  <c r="I75" i="1" s="1"/>
  <c r="Q139" i="1"/>
  <c r="G140" i="1" s="1"/>
  <c r="M79" i="1" s="1"/>
  <c r="C75" i="1"/>
  <c r="G105" i="1"/>
  <c r="I105" i="1"/>
  <c r="H105" i="1" l="1"/>
  <c r="F75" i="1" s="1"/>
  <c r="N75" i="1"/>
  <c r="K140" i="1"/>
  <c r="E75" i="1"/>
  <c r="L105" i="1"/>
  <c r="G75" i="1"/>
  <c r="I140" i="1"/>
  <c r="H140" i="1"/>
  <c r="J140" i="1"/>
  <c r="M105" i="1" l="1"/>
  <c r="N105" i="1" s="1"/>
  <c r="O105" i="1"/>
  <c r="L140" i="1"/>
  <c r="Q105" i="1" l="1"/>
  <c r="F106" i="1" s="1"/>
  <c r="P105" i="1"/>
  <c r="H75" i="1" s="1"/>
  <c r="J75" i="1" s="1"/>
  <c r="M140" i="1"/>
  <c r="N140" i="1" s="1"/>
  <c r="O140" i="1"/>
  <c r="I106" i="1" l="1"/>
  <c r="N76" i="1"/>
  <c r="P140" i="1"/>
  <c r="C76" i="1"/>
  <c r="H106" i="1"/>
  <c r="F76" i="1" s="1"/>
  <c r="G106" i="1"/>
  <c r="E76" i="1" s="1"/>
  <c r="K106" i="1"/>
  <c r="I76" i="1" s="1"/>
  <c r="G76" i="1"/>
  <c r="Q140" i="1"/>
  <c r="G141" i="1" s="1"/>
  <c r="K141" i="1" l="1"/>
  <c r="M80" i="1"/>
  <c r="L106" i="1"/>
  <c r="O106" i="1" s="1"/>
  <c r="I141" i="1"/>
  <c r="J141" i="1"/>
  <c r="H141" i="1"/>
  <c r="M106" i="1" l="1"/>
  <c r="N106" i="1" s="1"/>
  <c r="P106" i="1" s="1"/>
  <c r="H76" i="1" s="1"/>
  <c r="J76" i="1" s="1"/>
  <c r="L141" i="1"/>
  <c r="M141" i="1" s="1"/>
  <c r="N141" i="1" s="1"/>
  <c r="Q106" i="1" l="1"/>
  <c r="F107" i="1" s="1"/>
  <c r="O141" i="1"/>
  <c r="Q141" i="1" s="1"/>
  <c r="G142" i="1" s="1"/>
  <c r="I142" i="1" l="1"/>
  <c r="M81" i="1"/>
  <c r="K107" i="1"/>
  <c r="I77" i="1" s="1"/>
  <c r="N77" i="1"/>
  <c r="P141" i="1"/>
  <c r="H107" i="1"/>
  <c r="F77" i="1" s="1"/>
  <c r="I107" i="1"/>
  <c r="G77" i="1" s="1"/>
  <c r="G107" i="1"/>
  <c r="E77" i="1" s="1"/>
  <c r="C77" i="1"/>
  <c r="H142" i="1"/>
  <c r="K142" i="1"/>
  <c r="J142" i="1"/>
  <c r="L142" i="1" l="1"/>
  <c r="L107" i="1"/>
  <c r="M107" i="1" s="1"/>
  <c r="N107" i="1" s="1"/>
  <c r="M142" i="1"/>
  <c r="N142" i="1" s="1"/>
  <c r="O142" i="1"/>
  <c r="P142" i="1" l="1"/>
  <c r="O107" i="1"/>
  <c r="P107" i="1" s="1"/>
  <c r="H77" i="1" s="1"/>
  <c r="J77" i="1" s="1"/>
  <c r="Q142" i="1"/>
  <c r="G143" i="1" s="1"/>
  <c r="K143" i="1" l="1"/>
  <c r="M82" i="1"/>
  <c r="Q107" i="1"/>
  <c r="F108" i="1" s="1"/>
  <c r="H143" i="1"/>
  <c r="I143" i="1"/>
  <c r="J143" i="1"/>
  <c r="H108" i="1" l="1"/>
  <c r="F78" i="1" s="1"/>
  <c r="N78" i="1"/>
  <c r="C78" i="1"/>
  <c r="K108" i="1"/>
  <c r="I78" i="1" s="1"/>
  <c r="G108" i="1"/>
  <c r="L108" i="1" s="1"/>
  <c r="I108" i="1"/>
  <c r="G78" i="1" s="1"/>
  <c r="L143" i="1"/>
  <c r="O143" i="1" s="1"/>
  <c r="J10" i="1" l="1"/>
  <c r="I10" i="1"/>
  <c r="E78" i="1"/>
  <c r="M108" i="1"/>
  <c r="N108" i="1" s="1"/>
  <c r="O108" i="1"/>
  <c r="M143" i="1"/>
  <c r="N143" i="1" s="1"/>
  <c r="Q143" i="1" l="1"/>
  <c r="G144" i="1" s="1"/>
  <c r="K144" i="1" s="1"/>
  <c r="P143" i="1"/>
  <c r="P108" i="1"/>
  <c r="H78" i="1" s="1"/>
  <c r="J78" i="1" s="1"/>
  <c r="Q108" i="1"/>
  <c r="F109" i="1" s="1"/>
  <c r="N79" i="1" s="1"/>
  <c r="J144" i="1"/>
  <c r="H144" i="1" l="1"/>
  <c r="I144" i="1"/>
  <c r="M83" i="1"/>
  <c r="G118" i="1"/>
  <c r="I25" i="1" s="1"/>
  <c r="I27" i="1" s="1"/>
  <c r="G109" i="1"/>
  <c r="K109" i="1"/>
  <c r="H109" i="1"/>
  <c r="F79" i="1" s="1"/>
  <c r="C79" i="1"/>
  <c r="I109" i="1"/>
  <c r="G79" i="1" s="1"/>
  <c r="I41" i="1" l="1"/>
  <c r="I42" i="1" s="1"/>
  <c r="L144" i="1"/>
  <c r="O144" i="1" s="1"/>
  <c r="M144" i="1"/>
  <c r="N144" i="1" s="1"/>
  <c r="I79" i="1"/>
  <c r="E79" i="1"/>
  <c r="L109" i="1"/>
  <c r="I39" i="1" l="1"/>
  <c r="I40" i="1"/>
  <c r="P144" i="1"/>
  <c r="Q144" i="1"/>
  <c r="G145" i="1" s="1"/>
  <c r="D39" i="1" s="1"/>
  <c r="M109" i="1"/>
  <c r="N109" i="1" s="1"/>
  <c r="O109" i="1"/>
  <c r="G146" i="1" l="1"/>
  <c r="I145" i="1"/>
  <c r="I146" i="1" s="1"/>
  <c r="H145" i="1"/>
  <c r="J145" i="1"/>
  <c r="J146" i="1" s="1"/>
  <c r="M84" i="1"/>
  <c r="K145" i="1"/>
  <c r="K146" i="1" s="1"/>
  <c r="P109" i="1"/>
  <c r="H79" i="1" s="1"/>
  <c r="J79" i="1" s="1"/>
  <c r="Q109" i="1"/>
  <c r="F110" i="1" s="1"/>
  <c r="N80" i="1" s="1"/>
  <c r="F12" i="2"/>
  <c r="H146" i="1"/>
  <c r="L145" i="1" l="1"/>
  <c r="C80" i="1"/>
  <c r="H110" i="1"/>
  <c r="F80" i="1" s="1"/>
  <c r="I110" i="1"/>
  <c r="G110" i="1"/>
  <c r="K110" i="1"/>
  <c r="O145" i="1"/>
  <c r="O146" i="1" s="1"/>
  <c r="M145" i="1"/>
  <c r="N145" i="1" s="1"/>
  <c r="L146" i="1"/>
  <c r="G5" i="3"/>
  <c r="G6" i="3" s="1"/>
  <c r="AF8" i="1"/>
  <c r="AE8" i="1" l="1"/>
  <c r="CM12" i="1" s="1"/>
  <c r="AD8" i="1"/>
  <c r="CL10" i="1" s="1"/>
  <c r="G3" i="3"/>
  <c r="N146" i="1"/>
  <c r="P146" i="1" s="1"/>
  <c r="P145" i="1"/>
  <c r="G80" i="1"/>
  <c r="L110" i="1"/>
  <c r="E80" i="1"/>
  <c r="I80" i="1"/>
  <c r="CM6" i="1"/>
  <c r="CM8" i="1"/>
  <c r="CM13" i="1"/>
  <c r="CM14" i="1"/>
  <c r="AE29" i="1"/>
  <c r="CM9" i="1"/>
  <c r="G4" i="3"/>
  <c r="AD10" i="1"/>
  <c r="AE10" i="1"/>
  <c r="Q145" i="1"/>
  <c r="Q146" i="1" s="1"/>
  <c r="CL7" i="1"/>
  <c r="CL9" i="1"/>
  <c r="CL11" i="1"/>
  <c r="CL6" i="1"/>
  <c r="CL12" i="1"/>
  <c r="CL13" i="1"/>
  <c r="AD29" i="1"/>
  <c r="AF10" i="1"/>
  <c r="CN12" i="1"/>
  <c r="CN16" i="1"/>
  <c r="CN6" i="1"/>
  <c r="CN11" i="1"/>
  <c r="CN14" i="1"/>
  <c r="CN10" i="1"/>
  <c r="CN7" i="1"/>
  <c r="CN13" i="1"/>
  <c r="CN15" i="1"/>
  <c r="AF9" i="1"/>
  <c r="CN8" i="1"/>
  <c r="AF29" i="1"/>
  <c r="CN9" i="1"/>
  <c r="CL15" i="1" l="1"/>
  <c r="CM10" i="1"/>
  <c r="CM7" i="1"/>
  <c r="AE9" i="1"/>
  <c r="CM16" i="1"/>
  <c r="CM15" i="1"/>
  <c r="CM11" i="1"/>
  <c r="CL16" i="1"/>
  <c r="AD9" i="1"/>
  <c r="CL14" i="1"/>
  <c r="CL8" i="1"/>
  <c r="N148" i="1"/>
  <c r="F11" i="2" s="1"/>
  <c r="M110" i="1"/>
  <c r="N110" i="1" s="1"/>
  <c r="O110" i="1"/>
  <c r="AD11" i="1"/>
  <c r="AD13" i="1" s="1"/>
  <c r="AD31" i="1"/>
  <c r="AD62" i="1" s="1"/>
  <c r="AD79" i="1" s="1"/>
  <c r="AD96" i="1" s="1"/>
  <c r="AD113" i="1" s="1"/>
  <c r="AD130" i="1" s="1"/>
  <c r="AD147" i="1" s="1"/>
  <c r="AD164" i="1" s="1"/>
  <c r="AD181" i="1" s="1"/>
  <c r="CL36" i="1"/>
  <c r="AD60" i="1"/>
  <c r="CL34" i="1"/>
  <c r="CL29" i="1"/>
  <c r="CL37" i="1"/>
  <c r="CL32" i="1"/>
  <c r="AD30" i="1"/>
  <c r="CL27" i="1"/>
  <c r="CL35" i="1"/>
  <c r="CL33" i="1"/>
  <c r="CL30" i="1"/>
  <c r="CL31" i="1"/>
  <c r="CL28" i="1"/>
  <c r="AE31" i="1"/>
  <c r="AE62" i="1" s="1"/>
  <c r="AE79" i="1" s="1"/>
  <c r="AE96" i="1" s="1"/>
  <c r="AE113" i="1" s="1"/>
  <c r="AE130" i="1" s="1"/>
  <c r="AE147" i="1" s="1"/>
  <c r="AE164" i="1" s="1"/>
  <c r="AE181" i="1" s="1"/>
  <c r="AE11" i="1"/>
  <c r="CM30" i="1"/>
  <c r="CM33" i="1"/>
  <c r="CM37" i="1"/>
  <c r="CM34" i="1"/>
  <c r="CM36" i="1"/>
  <c r="CM27" i="1"/>
  <c r="AE60" i="1"/>
  <c r="CM35" i="1"/>
  <c r="CM28" i="1"/>
  <c r="AE30" i="1"/>
  <c r="CM29" i="1"/>
  <c r="CM31" i="1"/>
  <c r="CM32" i="1"/>
  <c r="CN33" i="1"/>
  <c r="CN27" i="1"/>
  <c r="CN31" i="1"/>
  <c r="CN29" i="1"/>
  <c r="AF30" i="1"/>
  <c r="CN32" i="1"/>
  <c r="CN28" i="1"/>
  <c r="CN35" i="1"/>
  <c r="CN36" i="1"/>
  <c r="AF60" i="1"/>
  <c r="CN34" i="1"/>
  <c r="CN30" i="1"/>
  <c r="CN37" i="1"/>
  <c r="AF11" i="1"/>
  <c r="AF13" i="1" s="1"/>
  <c r="AF31" i="1"/>
  <c r="AF62" i="1" s="1"/>
  <c r="AF79" i="1" s="1"/>
  <c r="AF96" i="1" s="1"/>
  <c r="AF113" i="1" s="1"/>
  <c r="AF130" i="1" s="1"/>
  <c r="AF147" i="1" s="1"/>
  <c r="AF164" i="1" s="1"/>
  <c r="AF181" i="1" s="1"/>
  <c r="P110" i="1" l="1"/>
  <c r="H80" i="1" s="1"/>
  <c r="J80" i="1" s="1"/>
  <c r="Q110" i="1"/>
  <c r="F111" i="1" s="1"/>
  <c r="N81" i="1" s="1"/>
  <c r="AE12" i="1"/>
  <c r="AE32" i="1"/>
  <c r="CL17" i="1"/>
  <c r="AD16" i="1" s="1"/>
  <c r="AD15" i="1"/>
  <c r="DG6" i="1"/>
  <c r="DG7" i="1"/>
  <c r="CM60" i="1"/>
  <c r="CM65" i="1"/>
  <c r="CM62" i="1"/>
  <c r="CM66" i="1"/>
  <c r="CM58" i="1"/>
  <c r="CM61" i="1"/>
  <c r="AE61" i="1"/>
  <c r="CM67" i="1"/>
  <c r="AE77" i="1"/>
  <c r="CM59" i="1"/>
  <c r="CM63" i="1"/>
  <c r="CM68" i="1"/>
  <c r="CM64" i="1"/>
  <c r="CL61" i="1"/>
  <c r="CL64" i="1"/>
  <c r="CL63" i="1"/>
  <c r="CL65" i="1"/>
  <c r="CL59" i="1"/>
  <c r="CL66" i="1"/>
  <c r="CL58" i="1"/>
  <c r="CL60" i="1"/>
  <c r="CL62" i="1"/>
  <c r="CL67" i="1"/>
  <c r="CL68" i="1"/>
  <c r="AD61" i="1"/>
  <c r="AD77" i="1"/>
  <c r="AE13" i="1"/>
  <c r="AD12" i="1"/>
  <c r="AD32" i="1"/>
  <c r="AD34" i="1" s="1"/>
  <c r="AF15" i="1"/>
  <c r="DI7" i="1"/>
  <c r="CN17" i="1"/>
  <c r="AF16" i="1" s="1"/>
  <c r="DI6" i="1"/>
  <c r="CN62" i="1"/>
  <c r="CN64" i="1"/>
  <c r="CN60" i="1"/>
  <c r="CN58" i="1"/>
  <c r="AF61" i="1"/>
  <c r="CN67" i="1"/>
  <c r="CN65" i="1"/>
  <c r="CN61" i="1"/>
  <c r="CN66" i="1"/>
  <c r="AF77" i="1"/>
  <c r="CN68" i="1"/>
  <c r="CN63" i="1"/>
  <c r="CN59" i="1"/>
  <c r="AF12" i="1"/>
  <c r="AF32" i="1"/>
  <c r="K111" i="1" l="1"/>
  <c r="G111" i="1"/>
  <c r="I111" i="1"/>
  <c r="C81" i="1"/>
  <c r="H111" i="1"/>
  <c r="BD14" i="1"/>
  <c r="BD8" i="1"/>
  <c r="BD6" i="1"/>
  <c r="BD16" i="1"/>
  <c r="BD12" i="1"/>
  <c r="BD15" i="1"/>
  <c r="BD13" i="1"/>
  <c r="BD11" i="1"/>
  <c r="BD7" i="1"/>
  <c r="BD10" i="1"/>
  <c r="BD9" i="1"/>
  <c r="CL77" i="1"/>
  <c r="CL78" i="1"/>
  <c r="CL81" i="1"/>
  <c r="AD94" i="1"/>
  <c r="CL79" i="1"/>
  <c r="CL85" i="1"/>
  <c r="CL83" i="1"/>
  <c r="CL84" i="1"/>
  <c r="CL82" i="1"/>
  <c r="CL75" i="1"/>
  <c r="CL80" i="1"/>
  <c r="CL76" i="1"/>
  <c r="AD78" i="1"/>
  <c r="CL38" i="1"/>
  <c r="AD37" i="1" s="1"/>
  <c r="DG28" i="1"/>
  <c r="AD36" i="1"/>
  <c r="DG27" i="1"/>
  <c r="BE7" i="1"/>
  <c r="BE6" i="1"/>
  <c r="AE14" i="1" s="1"/>
  <c r="BE9" i="1"/>
  <c r="BE16" i="1"/>
  <c r="BE8" i="1"/>
  <c r="BE10" i="1"/>
  <c r="BE12" i="1"/>
  <c r="BE11" i="1"/>
  <c r="BE14" i="1"/>
  <c r="BE15" i="1"/>
  <c r="BE13" i="1"/>
  <c r="AD63" i="1"/>
  <c r="AD65" i="1" s="1"/>
  <c r="AD33" i="1"/>
  <c r="CM17" i="1"/>
  <c r="AE16" i="1" s="1"/>
  <c r="DH6" i="1"/>
  <c r="AE15" i="1"/>
  <c r="DH7" i="1"/>
  <c r="CM78" i="1"/>
  <c r="CM82" i="1"/>
  <c r="AE94" i="1"/>
  <c r="CM83" i="1"/>
  <c r="CM81" i="1"/>
  <c r="CM75" i="1"/>
  <c r="CM79" i="1"/>
  <c r="CM76" i="1"/>
  <c r="AE78" i="1"/>
  <c r="CM80" i="1"/>
  <c r="CM85" i="1"/>
  <c r="CM77" i="1"/>
  <c r="CM84" i="1"/>
  <c r="AE63" i="1"/>
  <c r="AE33" i="1"/>
  <c r="AE34" i="1"/>
  <c r="BF7" i="1"/>
  <c r="BF11" i="1"/>
  <c r="BF15" i="1"/>
  <c r="BF6" i="1"/>
  <c r="BF16" i="1"/>
  <c r="BF13" i="1"/>
  <c r="BF8" i="1"/>
  <c r="BF12" i="1"/>
  <c r="BF10" i="1"/>
  <c r="BF14" i="1"/>
  <c r="BF9" i="1"/>
  <c r="CN84" i="1"/>
  <c r="CN80" i="1"/>
  <c r="CN83" i="1"/>
  <c r="CN79" i="1"/>
  <c r="CN75" i="1"/>
  <c r="CN78" i="1"/>
  <c r="CN82" i="1"/>
  <c r="CN77" i="1"/>
  <c r="CN85" i="1"/>
  <c r="AF94" i="1"/>
  <c r="CN81" i="1"/>
  <c r="AF78" i="1"/>
  <c r="CN76" i="1"/>
  <c r="AF34" i="1"/>
  <c r="AF33" i="1"/>
  <c r="AF63" i="1"/>
  <c r="G81" i="1" l="1"/>
  <c r="E81" i="1"/>
  <c r="L111" i="1"/>
  <c r="F81" i="1"/>
  <c r="I81" i="1"/>
  <c r="DH27" i="1"/>
  <c r="DH28" i="1"/>
  <c r="AE36" i="1"/>
  <c r="CM38" i="1"/>
  <c r="AE37" i="1" s="1"/>
  <c r="AE80" i="1"/>
  <c r="AE82" i="1" s="1"/>
  <c r="AE64" i="1"/>
  <c r="CM94" i="1"/>
  <c r="CM102" i="1"/>
  <c r="CM93" i="1"/>
  <c r="CM95" i="1"/>
  <c r="CM99" i="1"/>
  <c r="CM96" i="1"/>
  <c r="AE111" i="1"/>
  <c r="CM98" i="1"/>
  <c r="CM97" i="1"/>
  <c r="CM92" i="1"/>
  <c r="CM100" i="1"/>
  <c r="AE95" i="1"/>
  <c r="CM101" i="1"/>
  <c r="BD28" i="1"/>
  <c r="BD32" i="1"/>
  <c r="BD30" i="1"/>
  <c r="BD37" i="1"/>
  <c r="BD31" i="1"/>
  <c r="BD35" i="1"/>
  <c r="BD29" i="1"/>
  <c r="BD33" i="1"/>
  <c r="BD27" i="1"/>
  <c r="BD34" i="1"/>
  <c r="BD36" i="1"/>
  <c r="CL95" i="1"/>
  <c r="CL101" i="1"/>
  <c r="AD111" i="1"/>
  <c r="CL92" i="1"/>
  <c r="CL96" i="1"/>
  <c r="CL102" i="1"/>
  <c r="CL99" i="1"/>
  <c r="CL100" i="1"/>
  <c r="CL97" i="1"/>
  <c r="CL93" i="1"/>
  <c r="AD95" i="1"/>
  <c r="CL94" i="1"/>
  <c r="CL98" i="1"/>
  <c r="BE29" i="1"/>
  <c r="BE33" i="1"/>
  <c r="BE34" i="1"/>
  <c r="BE35" i="1"/>
  <c r="BE36" i="1"/>
  <c r="BE37" i="1"/>
  <c r="BE28" i="1"/>
  <c r="BE30" i="1"/>
  <c r="BE31" i="1"/>
  <c r="BE27" i="1"/>
  <c r="AE35" i="1" s="1"/>
  <c r="BE32" i="1"/>
  <c r="AE65" i="1"/>
  <c r="DG59" i="1"/>
  <c r="DG58" i="1"/>
  <c r="CL69" i="1"/>
  <c r="AD68" i="1" s="1"/>
  <c r="AD67" i="1"/>
  <c r="AD64" i="1"/>
  <c r="AD80" i="1"/>
  <c r="AD82" i="1" s="1"/>
  <c r="AE18" i="1"/>
  <c r="I44" i="1" s="1"/>
  <c r="AD14" i="1"/>
  <c r="AD18" i="1" s="1"/>
  <c r="I43" i="1" s="1"/>
  <c r="AF14" i="1"/>
  <c r="AF18" i="1" s="1"/>
  <c r="AF17" i="1" s="1"/>
  <c r="BF28" i="1"/>
  <c r="BF37" i="1"/>
  <c r="BF30" i="1"/>
  <c r="BF34" i="1"/>
  <c r="BF27" i="1"/>
  <c r="BF32" i="1"/>
  <c r="BF35" i="1"/>
  <c r="BF33" i="1"/>
  <c r="BF29" i="1"/>
  <c r="BF36" i="1"/>
  <c r="BF31" i="1"/>
  <c r="AF65" i="1"/>
  <c r="AF80" i="1"/>
  <c r="AF64" i="1"/>
  <c r="AF36" i="1"/>
  <c r="DI27" i="1"/>
  <c r="CN38" i="1"/>
  <c r="AF37" i="1" s="1"/>
  <c r="DI28" i="1"/>
  <c r="CN96" i="1"/>
  <c r="CN94" i="1"/>
  <c r="CN100" i="1"/>
  <c r="AF111" i="1"/>
  <c r="CN93" i="1"/>
  <c r="CN101" i="1"/>
  <c r="CN95" i="1"/>
  <c r="CN98" i="1"/>
  <c r="CN99" i="1"/>
  <c r="AF95" i="1"/>
  <c r="CN97" i="1"/>
  <c r="CN92" i="1"/>
  <c r="CN102" i="1"/>
  <c r="O111" i="1" l="1"/>
  <c r="M111" i="1"/>
  <c r="N111" i="1" s="1"/>
  <c r="AD35" i="1"/>
  <c r="AD39" i="1" s="1"/>
  <c r="AE17" i="1"/>
  <c r="BD65" i="1"/>
  <c r="BD66" i="1"/>
  <c r="BD58" i="1"/>
  <c r="BD68" i="1"/>
  <c r="BD59" i="1"/>
  <c r="BD67" i="1"/>
  <c r="BD60" i="1"/>
  <c r="BD61" i="1"/>
  <c r="BD62" i="1"/>
  <c r="BD63" i="1"/>
  <c r="BD64" i="1"/>
  <c r="DH75" i="1"/>
  <c r="CM86" i="1"/>
  <c r="AE85" i="1" s="1"/>
  <c r="DH76" i="1"/>
  <c r="AE84" i="1"/>
  <c r="AE97" i="1"/>
  <c r="AE99" i="1" s="1"/>
  <c r="AE81" i="1"/>
  <c r="AD84" i="1"/>
  <c r="CL86" i="1"/>
  <c r="AD85" i="1" s="1"/>
  <c r="DG75" i="1"/>
  <c r="DG76" i="1"/>
  <c r="AD97" i="1"/>
  <c r="AD99" i="1" s="1"/>
  <c r="AD81" i="1"/>
  <c r="CM69" i="1"/>
  <c r="AE68" i="1" s="1"/>
  <c r="DH59" i="1"/>
  <c r="DH58" i="1"/>
  <c r="AE67" i="1"/>
  <c r="AE39" i="1"/>
  <c r="AE38" i="1" s="1"/>
  <c r="CL115" i="1"/>
  <c r="CL113" i="1"/>
  <c r="CL114" i="1"/>
  <c r="AD128" i="1"/>
  <c r="CL119" i="1"/>
  <c r="AD112" i="1"/>
  <c r="CL110" i="1"/>
  <c r="CL116" i="1"/>
  <c r="CL109" i="1"/>
  <c r="CL117" i="1"/>
  <c r="CL111" i="1"/>
  <c r="CL118" i="1"/>
  <c r="CL112" i="1"/>
  <c r="AE128" i="1"/>
  <c r="CM110" i="1"/>
  <c r="CM114" i="1"/>
  <c r="CM112" i="1"/>
  <c r="CM118" i="1"/>
  <c r="CM116" i="1"/>
  <c r="CM111" i="1"/>
  <c r="CM113" i="1"/>
  <c r="AE112" i="1"/>
  <c r="CM117" i="1"/>
  <c r="CM119" i="1"/>
  <c r="CM115" i="1"/>
  <c r="CM109" i="1"/>
  <c r="BE60" i="1"/>
  <c r="BE62" i="1"/>
  <c r="BE63" i="1"/>
  <c r="BE64" i="1"/>
  <c r="BE65" i="1"/>
  <c r="BE67" i="1"/>
  <c r="BE66" i="1"/>
  <c r="BE68" i="1"/>
  <c r="BE58" i="1"/>
  <c r="BE59" i="1"/>
  <c r="BE61" i="1"/>
  <c r="AD17" i="1"/>
  <c r="AF35" i="1"/>
  <c r="AF39" i="1" s="1"/>
  <c r="AF38" i="1" s="1"/>
  <c r="CN116" i="1"/>
  <c r="CN109" i="1"/>
  <c r="AF112" i="1"/>
  <c r="CN115" i="1"/>
  <c r="CN119" i="1"/>
  <c r="CN118" i="1"/>
  <c r="CN113" i="1"/>
  <c r="AF128" i="1"/>
  <c r="CN112" i="1"/>
  <c r="CN110" i="1"/>
  <c r="CN117" i="1"/>
  <c r="CN114" i="1"/>
  <c r="CN111" i="1"/>
  <c r="BF64" i="1"/>
  <c r="BF67" i="1"/>
  <c r="BF66" i="1"/>
  <c r="BF62" i="1"/>
  <c r="BF59" i="1"/>
  <c r="BF65" i="1"/>
  <c r="BF58" i="1"/>
  <c r="BF61" i="1"/>
  <c r="BF63" i="1"/>
  <c r="BF60" i="1"/>
  <c r="BF68" i="1"/>
  <c r="DI59" i="1"/>
  <c r="CN69" i="1"/>
  <c r="AF68" i="1" s="1"/>
  <c r="AF67" i="1"/>
  <c r="DI58" i="1"/>
  <c r="AF82" i="1"/>
  <c r="AF97" i="1"/>
  <c r="AF81" i="1"/>
  <c r="P111" i="1" l="1"/>
  <c r="H81" i="1" s="1"/>
  <c r="J81" i="1" s="1"/>
  <c r="Q111" i="1"/>
  <c r="F112" i="1" s="1"/>
  <c r="N82" i="1" s="1"/>
  <c r="AE66" i="1"/>
  <c r="AE70" i="1" s="1"/>
  <c r="AE69" i="1" s="1"/>
  <c r="AE145" i="1"/>
  <c r="CM130" i="1"/>
  <c r="CM128" i="1"/>
  <c r="CM136" i="1"/>
  <c r="CM134" i="1"/>
  <c r="AE129" i="1"/>
  <c r="CM129" i="1"/>
  <c r="CM126" i="1"/>
  <c r="CM132" i="1"/>
  <c r="CM131" i="1"/>
  <c r="CM135" i="1"/>
  <c r="CM127" i="1"/>
  <c r="CM133" i="1"/>
  <c r="CL129" i="1"/>
  <c r="CL130" i="1"/>
  <c r="AD129" i="1"/>
  <c r="CL131" i="1"/>
  <c r="CL126" i="1"/>
  <c r="CL135" i="1"/>
  <c r="CL132" i="1"/>
  <c r="CL134" i="1"/>
  <c r="CL127" i="1"/>
  <c r="CL136" i="1"/>
  <c r="CL128" i="1"/>
  <c r="CL133" i="1"/>
  <c r="AD145" i="1"/>
  <c r="DG92" i="1"/>
  <c r="AD101" i="1"/>
  <c r="DG93" i="1"/>
  <c r="CL103" i="1"/>
  <c r="AD102" i="1" s="1"/>
  <c r="BD83" i="1"/>
  <c r="BD84" i="1"/>
  <c r="BD79" i="1"/>
  <c r="BD75" i="1"/>
  <c r="BD76" i="1"/>
  <c r="BD85" i="1"/>
  <c r="BD77" i="1"/>
  <c r="BD78" i="1"/>
  <c r="BD82" i="1"/>
  <c r="BD80" i="1"/>
  <c r="BD81" i="1"/>
  <c r="BE79" i="1"/>
  <c r="BE75" i="1"/>
  <c r="BE80" i="1"/>
  <c r="BE82" i="1"/>
  <c r="BE77" i="1"/>
  <c r="BE76" i="1"/>
  <c r="BE81" i="1"/>
  <c r="BE83" i="1"/>
  <c r="BE84" i="1"/>
  <c r="BE78" i="1"/>
  <c r="BE85" i="1"/>
  <c r="CM103" i="1"/>
  <c r="AE102" i="1" s="1"/>
  <c r="DH92" i="1"/>
  <c r="DH93" i="1"/>
  <c r="AE101" i="1"/>
  <c r="AD114" i="1"/>
  <c r="AD116" i="1" s="1"/>
  <c r="AD98" i="1"/>
  <c r="AE114" i="1"/>
  <c r="AE116" i="1" s="1"/>
  <c r="AE98" i="1"/>
  <c r="AD66" i="1"/>
  <c r="AD70" i="1" s="1"/>
  <c r="AF66" i="1"/>
  <c r="AF99" i="1"/>
  <c r="AF98" i="1"/>
  <c r="AF114" i="1"/>
  <c r="CN135" i="1"/>
  <c r="CN136" i="1"/>
  <c r="CN129" i="1"/>
  <c r="CN134" i="1"/>
  <c r="CN126" i="1"/>
  <c r="CN132" i="1"/>
  <c r="CN127" i="1"/>
  <c r="AF145" i="1"/>
  <c r="CN128" i="1"/>
  <c r="CN130" i="1"/>
  <c r="CN131" i="1"/>
  <c r="CN133" i="1"/>
  <c r="AF129" i="1"/>
  <c r="BF80" i="1"/>
  <c r="BF84" i="1"/>
  <c r="BF81" i="1"/>
  <c r="BF77" i="1"/>
  <c r="BF83" i="1"/>
  <c r="BF79" i="1"/>
  <c r="BF78" i="1"/>
  <c r="BF82" i="1"/>
  <c r="BF85" i="1"/>
  <c r="BF75" i="1"/>
  <c r="BF76" i="1"/>
  <c r="AF84" i="1"/>
  <c r="DI75" i="1"/>
  <c r="CN86" i="1"/>
  <c r="AF85" i="1" s="1"/>
  <c r="DI76" i="1"/>
  <c r="AF70" i="1"/>
  <c r="AF69" i="1" s="1"/>
  <c r="I112" i="1" l="1"/>
  <c r="K112" i="1"/>
  <c r="H112" i="1"/>
  <c r="C82" i="1"/>
  <c r="G112" i="1"/>
  <c r="AE83" i="1"/>
  <c r="AE87" i="1" s="1"/>
  <c r="AE86" i="1" s="1"/>
  <c r="AD83" i="1"/>
  <c r="AD87" i="1" s="1"/>
  <c r="CM120" i="1"/>
  <c r="AE119" i="1" s="1"/>
  <c r="AE118" i="1"/>
  <c r="DH109" i="1"/>
  <c r="DH110" i="1"/>
  <c r="AD118" i="1"/>
  <c r="DG110" i="1"/>
  <c r="DG109" i="1"/>
  <c r="CL120" i="1"/>
  <c r="AD119" i="1" s="1"/>
  <c r="BE95" i="1"/>
  <c r="BE98" i="1"/>
  <c r="BE100" i="1"/>
  <c r="BE101" i="1"/>
  <c r="BE102" i="1"/>
  <c r="BE94" i="1"/>
  <c r="BE96" i="1"/>
  <c r="BE99" i="1"/>
  <c r="BE97" i="1"/>
  <c r="BE93" i="1"/>
  <c r="BE92" i="1"/>
  <c r="AE100" i="1" s="1"/>
  <c r="AE104" i="1" s="1"/>
  <c r="BD99" i="1"/>
  <c r="BD101" i="1"/>
  <c r="BD93" i="1"/>
  <c r="BD95" i="1"/>
  <c r="BD102" i="1"/>
  <c r="BD100" i="1"/>
  <c r="BD98" i="1"/>
  <c r="BD92" i="1"/>
  <c r="BD96" i="1"/>
  <c r="BD97" i="1"/>
  <c r="BD94" i="1"/>
  <c r="AE115" i="1"/>
  <c r="AE131" i="1"/>
  <c r="AD131" i="1"/>
  <c r="AD133" i="1" s="1"/>
  <c r="AD115" i="1"/>
  <c r="CL145" i="1"/>
  <c r="CL151" i="1"/>
  <c r="CL146" i="1"/>
  <c r="CL143" i="1"/>
  <c r="CL147" i="1"/>
  <c r="CL144" i="1"/>
  <c r="CL149" i="1"/>
  <c r="CL148" i="1"/>
  <c r="CL153" i="1"/>
  <c r="AD146" i="1"/>
  <c r="AD162" i="1"/>
  <c r="CL150" i="1"/>
  <c r="CL152" i="1"/>
  <c r="CM152" i="1"/>
  <c r="CM143" i="1"/>
  <c r="AE146" i="1"/>
  <c r="CM149" i="1"/>
  <c r="CM150" i="1"/>
  <c r="CM144" i="1"/>
  <c r="CM147" i="1"/>
  <c r="CM146" i="1"/>
  <c r="CM153" i="1"/>
  <c r="CM148" i="1"/>
  <c r="CM151" i="1"/>
  <c r="CM145" i="1"/>
  <c r="AE162" i="1"/>
  <c r="AF83" i="1"/>
  <c r="BF96" i="1"/>
  <c r="BF98" i="1"/>
  <c r="BF101" i="1"/>
  <c r="BF95" i="1"/>
  <c r="BF99" i="1"/>
  <c r="BF97" i="1"/>
  <c r="BF94" i="1"/>
  <c r="BF93" i="1"/>
  <c r="BF92" i="1"/>
  <c r="BF102" i="1"/>
  <c r="BF100" i="1"/>
  <c r="AF87" i="1"/>
  <c r="AF86" i="1" s="1"/>
  <c r="CN146" i="1"/>
  <c r="AF162" i="1"/>
  <c r="CN145" i="1"/>
  <c r="AF146" i="1"/>
  <c r="CN147" i="1"/>
  <c r="CN143" i="1"/>
  <c r="CN144" i="1"/>
  <c r="CN150" i="1"/>
  <c r="CN151" i="1"/>
  <c r="CN148" i="1"/>
  <c r="CN152" i="1"/>
  <c r="CN149" i="1"/>
  <c r="CN153" i="1"/>
  <c r="AF115" i="1"/>
  <c r="AF116" i="1"/>
  <c r="AF131" i="1"/>
  <c r="CN103" i="1"/>
  <c r="AF102" i="1" s="1"/>
  <c r="DI93" i="1"/>
  <c r="DI92" i="1"/>
  <c r="AF101" i="1"/>
  <c r="F82" i="1" l="1"/>
  <c r="I82" i="1"/>
  <c r="E82" i="1"/>
  <c r="L112" i="1"/>
  <c r="G82" i="1"/>
  <c r="AE103" i="1"/>
  <c r="AD100" i="1"/>
  <c r="AD104" i="1" s="1"/>
  <c r="CM167" i="1"/>
  <c r="CM170" i="1"/>
  <c r="CM166" i="1"/>
  <c r="CM165" i="1"/>
  <c r="CM160" i="1"/>
  <c r="CM168" i="1"/>
  <c r="CM161" i="1"/>
  <c r="AE163" i="1"/>
  <c r="CM162" i="1"/>
  <c r="AE179" i="1"/>
  <c r="CM163" i="1"/>
  <c r="CM169" i="1"/>
  <c r="CM164" i="1"/>
  <c r="DG127" i="1"/>
  <c r="CL137" i="1"/>
  <c r="AD136" i="1" s="1"/>
  <c r="DG126" i="1"/>
  <c r="AD135" i="1"/>
  <c r="BD114" i="1"/>
  <c r="BD109" i="1"/>
  <c r="BD115" i="1"/>
  <c r="BD117" i="1"/>
  <c r="BD116" i="1"/>
  <c r="BD118" i="1"/>
  <c r="BD119" i="1"/>
  <c r="BD110" i="1"/>
  <c r="BD111" i="1"/>
  <c r="BD112" i="1"/>
  <c r="BD113" i="1"/>
  <c r="AE148" i="1"/>
  <c r="AE150" i="1" s="1"/>
  <c r="AE132" i="1"/>
  <c r="AE133" i="1"/>
  <c r="CL163" i="1"/>
  <c r="CL167" i="1"/>
  <c r="CL162" i="1"/>
  <c r="CL168" i="1"/>
  <c r="CL170" i="1"/>
  <c r="AD163" i="1"/>
  <c r="CL164" i="1"/>
  <c r="CL169" i="1"/>
  <c r="CL165" i="1"/>
  <c r="CL160" i="1"/>
  <c r="CL166" i="1"/>
  <c r="CL161" i="1"/>
  <c r="AD179" i="1"/>
  <c r="AD132" i="1"/>
  <c r="AD148" i="1"/>
  <c r="AD150" i="1" s="1"/>
  <c r="BE119" i="1"/>
  <c r="BE115" i="1"/>
  <c r="BE109" i="1"/>
  <c r="AE117" i="1" s="1"/>
  <c r="AE121" i="1" s="1"/>
  <c r="AE120" i="1" s="1"/>
  <c r="BE110" i="1"/>
  <c r="BE111" i="1"/>
  <c r="BE114" i="1"/>
  <c r="BE113" i="1"/>
  <c r="BE116" i="1"/>
  <c r="BE117" i="1"/>
  <c r="BE118" i="1"/>
  <c r="BE112" i="1"/>
  <c r="AF100" i="1"/>
  <c r="AF104" i="1" s="1"/>
  <c r="AF103" i="1" s="1"/>
  <c r="AF118" i="1"/>
  <c r="DI110" i="1"/>
  <c r="DI109" i="1"/>
  <c r="CN120" i="1"/>
  <c r="AF119" i="1" s="1"/>
  <c r="AF132" i="1"/>
  <c r="AF148" i="1"/>
  <c r="BF119" i="1"/>
  <c r="BF111" i="1"/>
  <c r="BF117" i="1"/>
  <c r="BF110" i="1"/>
  <c r="BF112" i="1"/>
  <c r="BF116" i="1"/>
  <c r="BF109" i="1"/>
  <c r="BF118" i="1"/>
  <c r="BF113" i="1"/>
  <c r="BF114" i="1"/>
  <c r="BF115" i="1"/>
  <c r="CN169" i="1"/>
  <c r="AF163" i="1"/>
  <c r="CN166" i="1"/>
  <c r="CN165" i="1"/>
  <c r="CN161" i="1"/>
  <c r="CN162" i="1"/>
  <c r="CN163" i="1"/>
  <c r="AF179" i="1"/>
  <c r="CN164" i="1"/>
  <c r="CN160" i="1"/>
  <c r="CN170" i="1"/>
  <c r="CN168" i="1"/>
  <c r="CN167" i="1"/>
  <c r="AF133" i="1"/>
  <c r="M112" i="1" l="1"/>
  <c r="N112" i="1" s="1"/>
  <c r="O112" i="1"/>
  <c r="AD117" i="1"/>
  <c r="AD121" i="1" s="1"/>
  <c r="DG144" i="1"/>
  <c r="AD152" i="1"/>
  <c r="CL154" i="1"/>
  <c r="AD153" i="1" s="1"/>
  <c r="DG143" i="1"/>
  <c r="BD129" i="1"/>
  <c r="BD134" i="1"/>
  <c r="BD130" i="1"/>
  <c r="BD131" i="1"/>
  <c r="BD132" i="1"/>
  <c r="BD133" i="1"/>
  <c r="BD135" i="1"/>
  <c r="BD128" i="1"/>
  <c r="BD127" i="1"/>
  <c r="BD136" i="1"/>
  <c r="BD126" i="1"/>
  <c r="CM154" i="1"/>
  <c r="AE153" i="1" s="1"/>
  <c r="DH144" i="1"/>
  <c r="AE152" i="1"/>
  <c r="DH143" i="1"/>
  <c r="AE135" i="1"/>
  <c r="DH126" i="1"/>
  <c r="DH127" i="1"/>
  <c r="CM137" i="1"/>
  <c r="AE136" i="1" s="1"/>
  <c r="AE165" i="1"/>
  <c r="AE149" i="1"/>
  <c r="CM186" i="1"/>
  <c r="CM180" i="1"/>
  <c r="CM183" i="1"/>
  <c r="CM179" i="1"/>
  <c r="CM182" i="1"/>
  <c r="CM184" i="1"/>
  <c r="CM178" i="1"/>
  <c r="CM185" i="1"/>
  <c r="AE180" i="1"/>
  <c r="CM187" i="1"/>
  <c r="CM177" i="1"/>
  <c r="CM181" i="1"/>
  <c r="AD149" i="1"/>
  <c r="AD165" i="1"/>
  <c r="CL180" i="1"/>
  <c r="CL178" i="1"/>
  <c r="CL183" i="1"/>
  <c r="AD180" i="1"/>
  <c r="CL181" i="1"/>
  <c r="CL177" i="1"/>
  <c r="CL185" i="1"/>
  <c r="CL182" i="1"/>
  <c r="CL179" i="1"/>
  <c r="CL186" i="1"/>
  <c r="CL184" i="1"/>
  <c r="CL187" i="1"/>
  <c r="BE135" i="1"/>
  <c r="BE129" i="1"/>
  <c r="BE136" i="1"/>
  <c r="BE126" i="1"/>
  <c r="AE134" i="1" s="1"/>
  <c r="BE127" i="1"/>
  <c r="BE130" i="1"/>
  <c r="BE131" i="1"/>
  <c r="BE132" i="1"/>
  <c r="BE128" i="1"/>
  <c r="BE133" i="1"/>
  <c r="BE134" i="1"/>
  <c r="AF117" i="1"/>
  <c r="AF121" i="1" s="1"/>
  <c r="AF120" i="1" s="1"/>
  <c r="DI126" i="1"/>
  <c r="AF135" i="1"/>
  <c r="CN137" i="1"/>
  <c r="AF136" i="1" s="1"/>
  <c r="DI127" i="1"/>
  <c r="CN180" i="1"/>
  <c r="CN187" i="1"/>
  <c r="CN184" i="1"/>
  <c r="CN179" i="1"/>
  <c r="CN185" i="1"/>
  <c r="CN186" i="1"/>
  <c r="CN178" i="1"/>
  <c r="CN183" i="1"/>
  <c r="CN182" i="1"/>
  <c r="CN177" i="1"/>
  <c r="CN181" i="1"/>
  <c r="AF180" i="1"/>
  <c r="BF131" i="1"/>
  <c r="BF127" i="1"/>
  <c r="BF135" i="1"/>
  <c r="BF129" i="1"/>
  <c r="BF130" i="1"/>
  <c r="BF132" i="1"/>
  <c r="BF128" i="1"/>
  <c r="BF126" i="1"/>
  <c r="BF133" i="1"/>
  <c r="BF136" i="1"/>
  <c r="BF134" i="1"/>
  <c r="AF134" i="1"/>
  <c r="AF150" i="1"/>
  <c r="AF165" i="1"/>
  <c r="AF149" i="1"/>
  <c r="P112" i="1" l="1"/>
  <c r="H82" i="1" s="1"/>
  <c r="J82" i="1" s="1"/>
  <c r="Q112" i="1"/>
  <c r="F113" i="1" s="1"/>
  <c r="AD134" i="1"/>
  <c r="AD138" i="1" s="1"/>
  <c r="AE138" i="1"/>
  <c r="BD147" i="1"/>
  <c r="BD145" i="1"/>
  <c r="BD149" i="1"/>
  <c r="BD151" i="1"/>
  <c r="BD146" i="1"/>
  <c r="BD148" i="1"/>
  <c r="BD152" i="1"/>
  <c r="BD153" i="1"/>
  <c r="BD144" i="1"/>
  <c r="BD150" i="1"/>
  <c r="BD143" i="1"/>
  <c r="AE167" i="1"/>
  <c r="AE166" i="1"/>
  <c r="AE182" i="1"/>
  <c r="AE183" i="1" s="1"/>
  <c r="AD182" i="1"/>
  <c r="AD183" i="1" s="1"/>
  <c r="AD166" i="1"/>
  <c r="BE148" i="1"/>
  <c r="BE143" i="1"/>
  <c r="BE146" i="1"/>
  <c r="BE151" i="1"/>
  <c r="BE153" i="1"/>
  <c r="BE144" i="1"/>
  <c r="BE145" i="1"/>
  <c r="BE152" i="1"/>
  <c r="BE150" i="1"/>
  <c r="BE149" i="1"/>
  <c r="BE147" i="1"/>
  <c r="AD167" i="1"/>
  <c r="BF150" i="1"/>
  <c r="BF146" i="1"/>
  <c r="BF152" i="1"/>
  <c r="BF143" i="1"/>
  <c r="BF153" i="1"/>
  <c r="BF148" i="1"/>
  <c r="BF144" i="1"/>
  <c r="BF151" i="1"/>
  <c r="BF145" i="1"/>
  <c r="AF151" i="1" s="1"/>
  <c r="BF149" i="1"/>
  <c r="BF147" i="1"/>
  <c r="DI144" i="1"/>
  <c r="DI143" i="1"/>
  <c r="CN154" i="1"/>
  <c r="AF153" i="1" s="1"/>
  <c r="AF152" i="1"/>
  <c r="AF166" i="1"/>
  <c r="AF182" i="1"/>
  <c r="AF138" i="1"/>
  <c r="AF137" i="1" s="1"/>
  <c r="AF167" i="1"/>
  <c r="F87" i="1" l="1"/>
  <c r="J25" i="1" s="1"/>
  <c r="N83" i="1"/>
  <c r="C83" i="1"/>
  <c r="G113" i="1"/>
  <c r="K113" i="1"/>
  <c r="H113" i="1"/>
  <c r="I113" i="1"/>
  <c r="AE137" i="1"/>
  <c r="AE151" i="1"/>
  <c r="AE155" i="1" s="1"/>
  <c r="AE154" i="1" s="1"/>
  <c r="AD184" i="1"/>
  <c r="DG178" i="1" s="1"/>
  <c r="AE184" i="1"/>
  <c r="AE186" i="1" s="1"/>
  <c r="AD151" i="1"/>
  <c r="AD155" i="1" s="1"/>
  <c r="DG161" i="1"/>
  <c r="AD169" i="1"/>
  <c r="DG160" i="1"/>
  <c r="CL171" i="1"/>
  <c r="AD170" i="1" s="1"/>
  <c r="BE161" i="1"/>
  <c r="BE169" i="1"/>
  <c r="BE170" i="1"/>
  <c r="BE163" i="1"/>
  <c r="BE164" i="1"/>
  <c r="BE165" i="1"/>
  <c r="BE160" i="1"/>
  <c r="BE162" i="1"/>
  <c r="BE167" i="1"/>
  <c r="BE166" i="1"/>
  <c r="BE168" i="1"/>
  <c r="BD163" i="1"/>
  <c r="BD168" i="1"/>
  <c r="BD160" i="1"/>
  <c r="BD161" i="1"/>
  <c r="BD170" i="1"/>
  <c r="BD162" i="1"/>
  <c r="BD165" i="1"/>
  <c r="BD164" i="1"/>
  <c r="BD166" i="1"/>
  <c r="BD167" i="1"/>
  <c r="BD169" i="1"/>
  <c r="BD182" i="1"/>
  <c r="BD179" i="1"/>
  <c r="BD183" i="1"/>
  <c r="BD184" i="1"/>
  <c r="BD181" i="1"/>
  <c r="BD185" i="1"/>
  <c r="BD177" i="1"/>
  <c r="BD187" i="1"/>
  <c r="BD178" i="1"/>
  <c r="BD186" i="1"/>
  <c r="BD180" i="1"/>
  <c r="BE179" i="1"/>
  <c r="BE184" i="1"/>
  <c r="BE177" i="1"/>
  <c r="BE178" i="1"/>
  <c r="BE187" i="1"/>
  <c r="BE183" i="1"/>
  <c r="BE185" i="1"/>
  <c r="BE186" i="1"/>
  <c r="BE180" i="1"/>
  <c r="BE182" i="1"/>
  <c r="BE181" i="1"/>
  <c r="DH161" i="1"/>
  <c r="CM171" i="1"/>
  <c r="AE170" i="1" s="1"/>
  <c r="DH160" i="1"/>
  <c r="AE169" i="1"/>
  <c r="AF155" i="1"/>
  <c r="AF154" i="1" s="1"/>
  <c r="DI161" i="1"/>
  <c r="CN171" i="1"/>
  <c r="AF170" i="1" s="1"/>
  <c r="DI160" i="1"/>
  <c r="AF169" i="1"/>
  <c r="AF183" i="1"/>
  <c r="AF184" i="1"/>
  <c r="BF161" i="1"/>
  <c r="BF160" i="1"/>
  <c r="BF167" i="1"/>
  <c r="BF164" i="1"/>
  <c r="BF169" i="1"/>
  <c r="BF168" i="1"/>
  <c r="BF162" i="1"/>
  <c r="BF170" i="1"/>
  <c r="BF165" i="1"/>
  <c r="BF163" i="1"/>
  <c r="BF166" i="1"/>
  <c r="J27" i="1" l="1"/>
  <c r="J41" i="1" s="1"/>
  <c r="J42" i="1" s="1"/>
  <c r="J39" i="1"/>
  <c r="J40" i="1" s="1"/>
  <c r="I83" i="1"/>
  <c r="L113" i="1"/>
  <c r="E83" i="1"/>
  <c r="I11" i="1"/>
  <c r="F83" i="1"/>
  <c r="G83" i="1"/>
  <c r="J11" i="1"/>
  <c r="CM188" i="1"/>
  <c r="AE187" i="1" s="1"/>
  <c r="DG177" i="1"/>
  <c r="AF168" i="1"/>
  <c r="AF172" i="1" s="1"/>
  <c r="AF171" i="1" s="1"/>
  <c r="AE168" i="1"/>
  <c r="AE172" i="1" s="1"/>
  <c r="AE171" i="1" s="1"/>
  <c r="AD168" i="1"/>
  <c r="AD172" i="1" s="1"/>
  <c r="G7" i="3" s="1"/>
  <c r="AE185" i="1"/>
  <c r="DH177" i="1"/>
  <c r="DH178" i="1"/>
  <c r="AD186" i="1"/>
  <c r="AD185" i="1"/>
  <c r="CL188" i="1"/>
  <c r="AD187" i="1" s="1"/>
  <c r="AF186" i="1"/>
  <c r="DI178" i="1"/>
  <c r="DI177" i="1"/>
  <c r="CN188" i="1"/>
  <c r="AF187" i="1" s="1"/>
  <c r="BF180" i="1"/>
  <c r="BF187" i="1"/>
  <c r="BF183" i="1"/>
  <c r="BF181" i="1"/>
  <c r="BF184" i="1"/>
  <c r="BF178" i="1"/>
  <c r="BF179" i="1"/>
  <c r="BF177" i="1"/>
  <c r="BF186" i="1"/>
  <c r="BF185" i="1"/>
  <c r="BF182" i="1"/>
  <c r="G8" i="3" l="1"/>
  <c r="G9" i="3" s="1"/>
  <c r="M113" i="1"/>
  <c r="N113" i="1" s="1"/>
  <c r="O113" i="1"/>
  <c r="AE189" i="1"/>
  <c r="AE188" i="1" s="1"/>
  <c r="AD189" i="1"/>
  <c r="AF185" i="1"/>
  <c r="AF189" i="1" s="1"/>
  <c r="AF188" i="1" s="1"/>
  <c r="H18" i="1"/>
  <c r="I45" i="1" l="1"/>
  <c r="P113" i="1"/>
  <c r="H83" i="1" s="1"/>
  <c r="J83" i="1" s="1"/>
  <c r="AI8" i="1" s="1"/>
  <c r="Q113" i="1"/>
  <c r="F114" i="1" s="1"/>
  <c r="N84" i="1" s="1"/>
  <c r="G5" i="2"/>
  <c r="G8" i="2" s="1"/>
  <c r="E39" i="1" l="1"/>
  <c r="I114" i="1"/>
  <c r="C84" i="1"/>
  <c r="K114" i="1"/>
  <c r="H114" i="1"/>
  <c r="G114" i="1"/>
  <c r="F115" i="1"/>
  <c r="CQ7" i="1"/>
  <c r="CQ13" i="1"/>
  <c r="AI9" i="1"/>
  <c r="AI13" i="1" s="1"/>
  <c r="CQ14" i="1"/>
  <c r="CQ15" i="1"/>
  <c r="CQ8" i="1"/>
  <c r="AI29" i="1"/>
  <c r="CQ12" i="1"/>
  <c r="CQ6" i="1"/>
  <c r="CQ10" i="1"/>
  <c r="CQ9" i="1"/>
  <c r="CQ16" i="1"/>
  <c r="CQ11" i="1"/>
  <c r="F5" i="2"/>
  <c r="I84" i="1" l="1"/>
  <c r="K115" i="1"/>
  <c r="CQ27" i="1"/>
  <c r="CQ32" i="1"/>
  <c r="CQ35" i="1"/>
  <c r="CQ37" i="1"/>
  <c r="CQ31" i="1"/>
  <c r="CQ34" i="1"/>
  <c r="CQ36" i="1"/>
  <c r="CQ28" i="1"/>
  <c r="AI60" i="1"/>
  <c r="AI30" i="1"/>
  <c r="AI34" i="1" s="1"/>
  <c r="CQ29" i="1"/>
  <c r="CQ33" i="1"/>
  <c r="CQ30" i="1"/>
  <c r="DL6" i="1"/>
  <c r="CQ17" i="1"/>
  <c r="AI16" i="1" s="1"/>
  <c r="AI14" i="1"/>
  <c r="DL7" i="1"/>
  <c r="AI15" i="1"/>
  <c r="E84" i="1"/>
  <c r="L114" i="1"/>
  <c r="G115" i="1"/>
  <c r="G84" i="1"/>
  <c r="I115" i="1"/>
  <c r="F84" i="1"/>
  <c r="H115" i="1"/>
  <c r="G12" i="2"/>
  <c r="F8" i="2"/>
  <c r="F10" i="2"/>
  <c r="M114" i="1" l="1"/>
  <c r="N114" i="1" s="1"/>
  <c r="O114" i="1"/>
  <c r="O115" i="1" s="1"/>
  <c r="H5" i="3"/>
  <c r="CQ62" i="1"/>
  <c r="AI77" i="1"/>
  <c r="CQ66" i="1"/>
  <c r="AI61" i="1"/>
  <c r="AI65" i="1" s="1"/>
  <c r="CQ61" i="1"/>
  <c r="CQ68" i="1"/>
  <c r="CQ64" i="1"/>
  <c r="CQ60" i="1"/>
  <c r="CQ59" i="1"/>
  <c r="CQ58" i="1"/>
  <c r="CQ63" i="1"/>
  <c r="CQ65" i="1"/>
  <c r="CQ67" i="1"/>
  <c r="AI18" i="1"/>
  <c r="AI17" i="1" s="1"/>
  <c r="CQ38" i="1"/>
  <c r="AI37" i="1" s="1"/>
  <c r="DL28" i="1"/>
  <c r="AI36" i="1"/>
  <c r="AI35" i="1"/>
  <c r="DL27" i="1"/>
  <c r="AI39" i="1" l="1"/>
  <c r="AI38" i="1" s="1"/>
  <c r="CQ75" i="1"/>
  <c r="CQ82" i="1"/>
  <c r="CQ81" i="1"/>
  <c r="CQ80" i="1"/>
  <c r="CQ83" i="1"/>
  <c r="CQ85" i="1"/>
  <c r="CQ76" i="1"/>
  <c r="CQ77" i="1"/>
  <c r="CQ78" i="1"/>
  <c r="CQ84" i="1"/>
  <c r="AI94" i="1"/>
  <c r="AI78" i="1"/>
  <c r="AI82" i="1" s="1"/>
  <c r="CQ79" i="1"/>
  <c r="H3" i="3"/>
  <c r="AA8" i="1"/>
  <c r="DL58" i="1"/>
  <c r="AI66" i="1"/>
  <c r="DL59" i="1"/>
  <c r="CQ69" i="1"/>
  <c r="AI68" i="1" s="1"/>
  <c r="AI67" i="1"/>
  <c r="H4" i="3"/>
  <c r="AA10" i="1"/>
  <c r="H6" i="3"/>
  <c r="N115" i="1"/>
  <c r="N117" i="1" s="1"/>
  <c r="G11" i="2" s="1"/>
  <c r="P114" i="1"/>
  <c r="H84" i="1" s="1"/>
  <c r="J84" i="1" s="1"/>
  <c r="Q114" i="1"/>
  <c r="Q115" i="1" s="1"/>
  <c r="CI13" i="1" l="1"/>
  <c r="CI10" i="1"/>
  <c r="AA29" i="1"/>
  <c r="CI7" i="1"/>
  <c r="CI15" i="1"/>
  <c r="CI8" i="1"/>
  <c r="CI9" i="1"/>
  <c r="CI12" i="1"/>
  <c r="AA9" i="1"/>
  <c r="CI11" i="1"/>
  <c r="CI6" i="1"/>
  <c r="CI16" i="1"/>
  <c r="CI14" i="1"/>
  <c r="CQ101" i="1"/>
  <c r="CQ100" i="1"/>
  <c r="AI111" i="1"/>
  <c r="CQ92" i="1"/>
  <c r="CQ99" i="1"/>
  <c r="CQ98" i="1"/>
  <c r="CQ93" i="1"/>
  <c r="CQ97" i="1"/>
  <c r="CQ96" i="1"/>
  <c r="AI95" i="1"/>
  <c r="AI99" i="1" s="1"/>
  <c r="CQ102" i="1"/>
  <c r="CQ95" i="1"/>
  <c r="CQ94" i="1"/>
  <c r="AA31" i="1"/>
  <c r="AA62" i="1" s="1"/>
  <c r="AA79" i="1" s="1"/>
  <c r="AA96" i="1" s="1"/>
  <c r="AA113" i="1" s="1"/>
  <c r="AA130" i="1" s="1"/>
  <c r="AA147" i="1" s="1"/>
  <c r="AA164" i="1" s="1"/>
  <c r="AA181" i="1" s="1"/>
  <c r="AA11" i="1"/>
  <c r="AI84" i="1"/>
  <c r="DL76" i="1"/>
  <c r="DL75" i="1"/>
  <c r="AI83" i="1"/>
  <c r="CQ86" i="1"/>
  <c r="AI85" i="1" s="1"/>
  <c r="AI70" i="1"/>
  <c r="AI69" i="1" s="1"/>
  <c r="AI87" i="1" l="1"/>
  <c r="AI86" i="1" s="1"/>
  <c r="CQ118" i="1"/>
  <c r="CQ111" i="1"/>
  <c r="CQ113" i="1"/>
  <c r="AI112" i="1"/>
  <c r="AI116" i="1" s="1"/>
  <c r="CQ112" i="1"/>
  <c r="AI128" i="1"/>
  <c r="CQ119" i="1"/>
  <c r="CQ117" i="1"/>
  <c r="CQ109" i="1"/>
  <c r="CQ114" i="1"/>
  <c r="CQ115" i="1"/>
  <c r="CQ110" i="1"/>
  <c r="CQ116" i="1"/>
  <c r="CI32" i="1"/>
  <c r="CI29" i="1"/>
  <c r="CI30" i="1"/>
  <c r="CI27" i="1"/>
  <c r="AA60" i="1"/>
  <c r="CI31" i="1"/>
  <c r="AA30" i="1"/>
  <c r="CI34" i="1"/>
  <c r="CI36" i="1"/>
  <c r="CI35" i="1"/>
  <c r="CI28" i="1"/>
  <c r="CI37" i="1"/>
  <c r="CI33" i="1"/>
  <c r="DL92" i="1"/>
  <c r="DL93" i="1"/>
  <c r="AI100" i="1"/>
  <c r="CQ103" i="1"/>
  <c r="AI102" i="1" s="1"/>
  <c r="AI101" i="1"/>
  <c r="AA32" i="1"/>
  <c r="AA12" i="1"/>
  <c r="AA13" i="1"/>
  <c r="AA34" i="1" l="1"/>
  <c r="AA33" i="1"/>
  <c r="AA63" i="1"/>
  <c r="DL110" i="1"/>
  <c r="AI117" i="1"/>
  <c r="DL109" i="1"/>
  <c r="AI118" i="1"/>
  <c r="CQ120" i="1"/>
  <c r="AI119" i="1" s="1"/>
  <c r="CI17" i="1"/>
  <c r="AA16" i="1" s="1"/>
  <c r="DD6" i="1"/>
  <c r="AA15" i="1"/>
  <c r="DD7" i="1"/>
  <c r="CI59" i="1"/>
  <c r="CI67" i="1"/>
  <c r="AA77" i="1"/>
  <c r="CI65" i="1"/>
  <c r="CI60" i="1"/>
  <c r="CI61" i="1"/>
  <c r="CI66" i="1"/>
  <c r="AA61" i="1"/>
  <c r="CI64" i="1"/>
  <c r="CI63" i="1"/>
  <c r="CI68" i="1"/>
  <c r="CI62" i="1"/>
  <c r="CI58" i="1"/>
  <c r="AI145" i="1"/>
  <c r="CQ126" i="1"/>
  <c r="CQ132" i="1"/>
  <c r="CQ128" i="1"/>
  <c r="AI129" i="1"/>
  <c r="AI133" i="1" s="1"/>
  <c r="CQ136" i="1"/>
  <c r="CQ129" i="1"/>
  <c r="CQ127" i="1"/>
  <c r="CQ135" i="1"/>
  <c r="CQ133" i="1"/>
  <c r="CQ130" i="1"/>
  <c r="CQ134" i="1"/>
  <c r="CQ131" i="1"/>
  <c r="BA16" i="1"/>
  <c r="BA15" i="1"/>
  <c r="BA14" i="1"/>
  <c r="BA6" i="1"/>
  <c r="BA13" i="1"/>
  <c r="BA12" i="1"/>
  <c r="BA11" i="1"/>
  <c r="BA10" i="1"/>
  <c r="BA9" i="1"/>
  <c r="BA8" i="1"/>
  <c r="AA14" i="1" s="1"/>
  <c r="BA7" i="1"/>
  <c r="AI104" i="1"/>
  <c r="AI103" i="1" s="1"/>
  <c r="AA18" i="1" l="1"/>
  <c r="AA65" i="1"/>
  <c r="CI69" i="1" s="1"/>
  <c r="AA68" i="1" s="1"/>
  <c r="AA94" i="1"/>
  <c r="CI79" i="1"/>
  <c r="CI76" i="1"/>
  <c r="CI80" i="1"/>
  <c r="CI84" i="1"/>
  <c r="CI77" i="1"/>
  <c r="CI82" i="1"/>
  <c r="CI81" i="1"/>
  <c r="CI75" i="1"/>
  <c r="AA78" i="1"/>
  <c r="CI83" i="1"/>
  <c r="CI78" i="1"/>
  <c r="CI85" i="1"/>
  <c r="AA80" i="1"/>
  <c r="AA64" i="1"/>
  <c r="DL127" i="1"/>
  <c r="AI135" i="1"/>
  <c r="CQ137" i="1"/>
  <c r="AI136" i="1" s="1"/>
  <c r="DL126" i="1"/>
  <c r="AI134" i="1"/>
  <c r="CQ148" i="1"/>
  <c r="AI162" i="1"/>
  <c r="CQ145" i="1"/>
  <c r="CQ150" i="1"/>
  <c r="CQ153" i="1"/>
  <c r="CQ151" i="1"/>
  <c r="CQ152" i="1"/>
  <c r="CQ143" i="1"/>
  <c r="CQ144" i="1"/>
  <c r="CQ147" i="1"/>
  <c r="AI146" i="1"/>
  <c r="AI150" i="1" s="1"/>
  <c r="CQ149" i="1"/>
  <c r="CQ146" i="1"/>
  <c r="BA37" i="1"/>
  <c r="BA29" i="1"/>
  <c r="BA28" i="1"/>
  <c r="AA35" i="1" s="1"/>
  <c r="BA27" i="1"/>
  <c r="BA35" i="1"/>
  <c r="BA34" i="1"/>
  <c r="BA33" i="1"/>
  <c r="BA32" i="1"/>
  <c r="BA31" i="1"/>
  <c r="BA30" i="1"/>
  <c r="BA36" i="1"/>
  <c r="AA67" i="1"/>
  <c r="DD59" i="1"/>
  <c r="AI121" i="1"/>
  <c r="AI120" i="1" s="1"/>
  <c r="AA36" i="1"/>
  <c r="DD28" i="1"/>
  <c r="CI38" i="1"/>
  <c r="AA37" i="1" s="1"/>
  <c r="DD27" i="1"/>
  <c r="AA17" i="1" l="1"/>
  <c r="J44" i="1"/>
  <c r="DD58" i="1"/>
  <c r="AI138" i="1"/>
  <c r="AI137" i="1" s="1"/>
  <c r="AA39" i="1"/>
  <c r="AI151" i="1"/>
  <c r="AI152" i="1"/>
  <c r="DL143" i="1"/>
  <c r="DL144" i="1"/>
  <c r="CQ154" i="1"/>
  <c r="AI153" i="1" s="1"/>
  <c r="BA63" i="1"/>
  <c r="BA64" i="1"/>
  <c r="BA66" i="1"/>
  <c r="BA60" i="1"/>
  <c r="AA66" i="1" s="1"/>
  <c r="BA62" i="1"/>
  <c r="BA65" i="1"/>
  <c r="BA67" i="1"/>
  <c r="BA61" i="1"/>
  <c r="BA59" i="1"/>
  <c r="BA58" i="1"/>
  <c r="BA68" i="1"/>
  <c r="CQ166" i="1"/>
  <c r="CQ167" i="1"/>
  <c r="CQ163" i="1"/>
  <c r="CQ165" i="1"/>
  <c r="CQ168" i="1"/>
  <c r="CQ160" i="1"/>
  <c r="AI179" i="1"/>
  <c r="AI163" i="1"/>
  <c r="AI167" i="1" s="1"/>
  <c r="CQ169" i="1"/>
  <c r="CQ161" i="1"/>
  <c r="CQ170" i="1"/>
  <c r="CQ162" i="1"/>
  <c r="CQ164" i="1"/>
  <c r="AA97" i="1"/>
  <c r="AA81" i="1"/>
  <c r="AA82" i="1"/>
  <c r="CI96" i="1"/>
  <c r="CI98" i="1"/>
  <c r="CI101" i="1"/>
  <c r="CI100" i="1"/>
  <c r="CI95" i="1"/>
  <c r="CI99" i="1"/>
  <c r="AA95" i="1"/>
  <c r="CI97" i="1"/>
  <c r="CI102" i="1"/>
  <c r="CI92" i="1"/>
  <c r="AA111" i="1"/>
  <c r="CI93" i="1"/>
  <c r="CI94" i="1"/>
  <c r="AA70" i="1" l="1"/>
  <c r="BA85" i="1"/>
  <c r="BA83" i="1"/>
  <c r="BA77" i="1"/>
  <c r="AA83" i="1" s="1"/>
  <c r="BA79" i="1"/>
  <c r="BA82" i="1"/>
  <c r="BA81" i="1"/>
  <c r="BA80" i="1"/>
  <c r="BA75" i="1"/>
  <c r="BA76" i="1"/>
  <c r="BA78" i="1"/>
  <c r="BA84" i="1"/>
  <c r="CQ187" i="1"/>
  <c r="CQ180" i="1"/>
  <c r="CQ182" i="1"/>
  <c r="CQ185" i="1"/>
  <c r="AI180" i="1"/>
  <c r="AI184" i="1" s="1"/>
  <c r="CQ183" i="1"/>
  <c r="CQ179" i="1"/>
  <c r="CQ186" i="1"/>
  <c r="CQ177" i="1"/>
  <c r="CQ181" i="1"/>
  <c r="CQ184" i="1"/>
  <c r="CQ178" i="1"/>
  <c r="AA99" i="1"/>
  <c r="AA114" i="1"/>
  <c r="AA98" i="1"/>
  <c r="AD69" i="1"/>
  <c r="AA69" i="1"/>
  <c r="AI155" i="1"/>
  <c r="AI154" i="1" s="1"/>
  <c r="CI114" i="1"/>
  <c r="CI112" i="1"/>
  <c r="CI115" i="1"/>
  <c r="AA128" i="1"/>
  <c r="CI118" i="1"/>
  <c r="CI113" i="1"/>
  <c r="CI117" i="1"/>
  <c r="CI116" i="1"/>
  <c r="AA112" i="1"/>
  <c r="CI111" i="1"/>
  <c r="CI119" i="1"/>
  <c r="CI110" i="1"/>
  <c r="CI109" i="1"/>
  <c r="AA84" i="1"/>
  <c r="CI86" i="1"/>
  <c r="AA85" i="1" s="1"/>
  <c r="DD75" i="1"/>
  <c r="DD76" i="1"/>
  <c r="DL160" i="1"/>
  <c r="AI168" i="1"/>
  <c r="DL161" i="1"/>
  <c r="CQ171" i="1"/>
  <c r="AI170" i="1" s="1"/>
  <c r="AI169" i="1"/>
  <c r="AD38" i="1"/>
  <c r="AA38" i="1"/>
  <c r="AI172" i="1" l="1"/>
  <c r="AI171" i="1" s="1"/>
  <c r="AA116" i="1"/>
  <c r="DD109" i="1" s="1"/>
  <c r="AA87" i="1"/>
  <c r="DD93" i="1"/>
  <c r="AA101" i="1"/>
  <c r="DD92" i="1"/>
  <c r="CI103" i="1"/>
  <c r="AA102" i="1" s="1"/>
  <c r="CI120" i="1"/>
  <c r="AA119" i="1" s="1"/>
  <c r="BA100" i="1"/>
  <c r="BA101" i="1"/>
  <c r="BA99" i="1"/>
  <c r="BA97" i="1"/>
  <c r="BA98" i="1"/>
  <c r="BA96" i="1"/>
  <c r="BA93" i="1"/>
  <c r="BA102" i="1"/>
  <c r="BA94" i="1"/>
  <c r="AA100" i="1" s="1"/>
  <c r="BA95" i="1"/>
  <c r="BA92" i="1"/>
  <c r="CQ188" i="1"/>
  <c r="AI187" i="1" s="1"/>
  <c r="AI186" i="1"/>
  <c r="AI185" i="1"/>
  <c r="DL178" i="1"/>
  <c r="DL177" i="1"/>
  <c r="CI127" i="1"/>
  <c r="CI126" i="1"/>
  <c r="CI131" i="1"/>
  <c r="CI132" i="1"/>
  <c r="CI135" i="1"/>
  <c r="CI134" i="1"/>
  <c r="CI128" i="1"/>
  <c r="CI136" i="1"/>
  <c r="AA145" i="1"/>
  <c r="CI133" i="1"/>
  <c r="CI130" i="1"/>
  <c r="CI129" i="1"/>
  <c r="AA129" i="1"/>
  <c r="AA115" i="1"/>
  <c r="AA131" i="1"/>
  <c r="DD110" i="1" l="1"/>
  <c r="AA118" i="1"/>
  <c r="AA132" i="1"/>
  <c r="AA148" i="1"/>
  <c r="BA109" i="1"/>
  <c r="BA113" i="1"/>
  <c r="BA112" i="1"/>
  <c r="BA116" i="1"/>
  <c r="BA111" i="1"/>
  <c r="AA117" i="1" s="1"/>
  <c r="BA115" i="1"/>
  <c r="BA117" i="1"/>
  <c r="BA114" i="1"/>
  <c r="BA110" i="1"/>
  <c r="BA118" i="1"/>
  <c r="BA119" i="1"/>
  <c r="AI189" i="1"/>
  <c r="AI188" i="1" s="1"/>
  <c r="AA104" i="1"/>
  <c r="AA133" i="1"/>
  <c r="CI150" i="1"/>
  <c r="CI144" i="1"/>
  <c r="CI148" i="1"/>
  <c r="CI145" i="1"/>
  <c r="CI151" i="1"/>
  <c r="CI147" i="1"/>
  <c r="CI149" i="1"/>
  <c r="CI153" i="1"/>
  <c r="CI146" i="1"/>
  <c r="AA146" i="1"/>
  <c r="AA150" i="1" s="1"/>
  <c r="CI152" i="1"/>
  <c r="AA162" i="1"/>
  <c r="CI143" i="1"/>
  <c r="AA86" i="1"/>
  <c r="AD86" i="1"/>
  <c r="AA121" i="1" l="1"/>
  <c r="AA120" i="1" s="1"/>
  <c r="AA163" i="1"/>
  <c r="CI161" i="1"/>
  <c r="CI167" i="1"/>
  <c r="AA179" i="1"/>
  <c r="CI162" i="1"/>
  <c r="CI169" i="1"/>
  <c r="CI160" i="1"/>
  <c r="CI168" i="1"/>
  <c r="CI163" i="1"/>
  <c r="CI166" i="1"/>
  <c r="CI164" i="1"/>
  <c r="CI170" i="1"/>
  <c r="CI165" i="1"/>
  <c r="DD127" i="1"/>
  <c r="AA135" i="1"/>
  <c r="CI137" i="1"/>
  <c r="AA136" i="1" s="1"/>
  <c r="DD126" i="1"/>
  <c r="AA103" i="1"/>
  <c r="AD103" i="1"/>
  <c r="AA152" i="1"/>
  <c r="DD144" i="1"/>
  <c r="CI154" i="1"/>
  <c r="AA153" i="1" s="1"/>
  <c r="DD143" i="1"/>
  <c r="AA149" i="1"/>
  <c r="AA165" i="1"/>
  <c r="BA131" i="1"/>
  <c r="BA128" i="1"/>
  <c r="BA127" i="1"/>
  <c r="BA129" i="1"/>
  <c r="BA134" i="1"/>
  <c r="BA126" i="1"/>
  <c r="BA136" i="1"/>
  <c r="BA135" i="1"/>
  <c r="BA130" i="1"/>
  <c r="BA132" i="1"/>
  <c r="BA133" i="1"/>
  <c r="AD120" i="1" l="1"/>
  <c r="AA134" i="1"/>
  <c r="AA138" i="1" s="1"/>
  <c r="AA166" i="1"/>
  <c r="AA182" i="1"/>
  <c r="AA183" i="1" s="1"/>
  <c r="AA167" i="1"/>
  <c r="BA150" i="1"/>
  <c r="BA153" i="1"/>
  <c r="BA152" i="1"/>
  <c r="BA149" i="1"/>
  <c r="BA151" i="1"/>
  <c r="BA148" i="1"/>
  <c r="BA147" i="1"/>
  <c r="BA146" i="1"/>
  <c r="AA151" i="1" s="1"/>
  <c r="AA155" i="1" s="1"/>
  <c r="BA145" i="1"/>
  <c r="BA144" i="1"/>
  <c r="BA143" i="1"/>
  <c r="CI186" i="1"/>
  <c r="CI178" i="1"/>
  <c r="CI182" i="1"/>
  <c r="CI184" i="1"/>
  <c r="CI183" i="1"/>
  <c r="CI187" i="1"/>
  <c r="CI180" i="1"/>
  <c r="CI177" i="1"/>
  <c r="AA180" i="1"/>
  <c r="CI179" i="1"/>
  <c r="CI181" i="1"/>
  <c r="CI185" i="1"/>
  <c r="AA184" i="1" l="1"/>
  <c r="AA186" i="1" s="1"/>
  <c r="AD137" i="1"/>
  <c r="AA137" i="1"/>
  <c r="DD160" i="1"/>
  <c r="AA169" i="1"/>
  <c r="CI171" i="1"/>
  <c r="AA170" i="1" s="1"/>
  <c r="DD161" i="1"/>
  <c r="DD178" i="1"/>
  <c r="DD177" i="1"/>
  <c r="BA178" i="1"/>
  <c r="BA177" i="1"/>
  <c r="BA185" i="1"/>
  <c r="BA180" i="1"/>
  <c r="BA179" i="1"/>
  <c r="BA181" i="1"/>
  <c r="BA183" i="1"/>
  <c r="BA186" i="1"/>
  <c r="BA182" i="1"/>
  <c r="BA187" i="1"/>
  <c r="BA184" i="1"/>
  <c r="AA154" i="1"/>
  <c r="AD154" i="1"/>
  <c r="BA164" i="1"/>
  <c r="BA162" i="1"/>
  <c r="AA168" i="1" s="1"/>
  <c r="BA161" i="1"/>
  <c r="BA170" i="1"/>
  <c r="BA168" i="1"/>
  <c r="BA165" i="1"/>
  <c r="BA163" i="1"/>
  <c r="BA169" i="1"/>
  <c r="BA166" i="1"/>
  <c r="BA167" i="1"/>
  <c r="BA160" i="1"/>
  <c r="AA185" i="1" l="1"/>
  <c r="CI188" i="1"/>
  <c r="AA187" i="1" s="1"/>
  <c r="AA189" i="1" s="1"/>
  <c r="AA172" i="1"/>
  <c r="AD171" i="1" l="1"/>
  <c r="AA171" i="1"/>
  <c r="AA188" i="1"/>
  <c r="AD188" i="1"/>
  <c r="H8" i="3" l="1"/>
  <c r="J45" i="1"/>
  <c r="H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Loonie Doctor</author>
  </authors>
  <commentList>
    <comment ref="G41" authorId="0" shapeId="0" xr:uid="{00000000-0006-0000-0000-000001000000}">
      <text>
        <r>
          <rPr>
            <b/>
            <sz val="9"/>
            <color indexed="81"/>
            <rFont val="Tahoma"/>
            <family val="2"/>
          </rPr>
          <t>Withdrawn as dividends and if needed then capital gains to make up the difference.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Loonie Doctor</author>
  </authors>
  <commentList>
    <comment ref="E12" authorId="0" shapeId="0" xr:uid="{00000000-0006-0000-0100-000001000000}">
      <text>
        <r>
          <rPr>
            <b/>
            <sz val="9"/>
            <color indexed="81"/>
            <rFont val="Tahoma"/>
            <family val="2"/>
          </rPr>
          <t>Assumes no further investments and no realizing capital gains.</t>
        </r>
      </text>
    </comment>
  </commentList>
</comments>
</file>

<file path=xl/sharedStrings.xml><?xml version="1.0" encoding="utf-8"?>
<sst xmlns="http://schemas.openxmlformats.org/spreadsheetml/2006/main" count="1100" uniqueCount="302">
  <si>
    <t>Baseline</t>
  </si>
  <si>
    <t>Ontario</t>
  </si>
  <si>
    <t>yr1</t>
  </si>
  <si>
    <t>yr2</t>
  </si>
  <si>
    <t>yr3</t>
  </si>
  <si>
    <t>2017 Taxable Income (ON)</t>
  </si>
  <si>
    <t>2017 Marginal Tax Rates</t>
  </si>
  <si>
    <t>Elg Div</t>
  </si>
  <si>
    <t>NonElg Div</t>
  </si>
  <si>
    <t>Non ElgDiv</t>
  </si>
  <si>
    <t>Can Elg Div</t>
  </si>
  <si>
    <t>Income (salary, interest, RRSP withdrawal, foreign dividends)</t>
  </si>
  <si>
    <t>Income</t>
  </si>
  <si>
    <t>yr4</t>
  </si>
  <si>
    <t>Salary A</t>
  </si>
  <si>
    <t>Salary B</t>
  </si>
  <si>
    <t>Phys</t>
  </si>
  <si>
    <t>Basic Personal Amount Credit</t>
  </si>
  <si>
    <t>RRSP Deduction</t>
  </si>
  <si>
    <t>$ In Bracket</t>
  </si>
  <si>
    <t>Tax in Bracket</t>
  </si>
  <si>
    <t>Tally</t>
  </si>
  <si>
    <t>Tax if in that bracket</t>
  </si>
  <si>
    <t>Tax if that bracket</t>
  </si>
  <si>
    <t>2018 Marginal Rates</t>
  </si>
  <si>
    <t>Max Amount</t>
  </si>
  <si>
    <t>Rate</t>
  </si>
  <si>
    <t>Credit</t>
  </si>
  <si>
    <t>base</t>
  </si>
  <si>
    <t>Tax Bracket</t>
  </si>
  <si>
    <t>Eligible Div</t>
  </si>
  <si>
    <t>Non-Eligible Dividends</t>
  </si>
  <si>
    <t>Fed</t>
  </si>
  <si>
    <t>Province</t>
  </si>
  <si>
    <t>ON</t>
  </si>
  <si>
    <t>Non-Eligible Dividend Gross Up</t>
  </si>
  <si>
    <t>Prov</t>
  </si>
  <si>
    <t>Gross Personal Income</t>
  </si>
  <si>
    <t>Eligible Dividends</t>
  </si>
  <si>
    <t>Eligible Dividend Gross-up</t>
  </si>
  <si>
    <t>Capital Gains</t>
  </si>
  <si>
    <t>Taxable Capital Gains (50%)</t>
  </si>
  <si>
    <t>current top marginal rates</t>
  </si>
  <si>
    <t>Income Ex-Div</t>
  </si>
  <si>
    <t>Income Tax</t>
  </si>
  <si>
    <t>Taxable Income</t>
  </si>
  <si>
    <t>Tax on Income Ex-Div</t>
  </si>
  <si>
    <t>Tax on Inelgible Div</t>
  </si>
  <si>
    <t>Next year top marginal rate</t>
  </si>
  <si>
    <t>Eligible Dividend Tax</t>
  </si>
  <si>
    <t>Inv Diff</t>
  </si>
  <si>
    <t>RRSP Refund</t>
  </si>
  <si>
    <t>tax</t>
  </si>
  <si>
    <t>Final Tax Bill</t>
  </si>
  <si>
    <t>Alberta</t>
  </si>
  <si>
    <t>Physician</t>
  </si>
  <si>
    <t>Spouse</t>
  </si>
  <si>
    <t>2017 Taxable Income (AB)</t>
  </si>
  <si>
    <t>CADelgdiv</t>
  </si>
  <si>
    <t>Short Loan</t>
  </si>
  <si>
    <t>NonE</t>
  </si>
  <si>
    <t>A</t>
  </si>
  <si>
    <t>base b</t>
  </si>
  <si>
    <t>b</t>
  </si>
  <si>
    <t>no sal b</t>
  </si>
  <si>
    <t>no sal</t>
  </si>
  <si>
    <t>Tax</t>
  </si>
  <si>
    <t>Top Marginal Rates</t>
  </si>
  <si>
    <t>Tax - no loan</t>
  </si>
  <si>
    <t>tax- short loan</t>
  </si>
  <si>
    <t>AIP Penalty</t>
  </si>
  <si>
    <t>next yr</t>
  </si>
  <si>
    <t>Tax - big loan</t>
  </si>
  <si>
    <t>AIP Taxes</t>
  </si>
  <si>
    <t>BC</t>
  </si>
  <si>
    <t>2018 Taxable Income (BC)</t>
  </si>
  <si>
    <t>non e</t>
  </si>
  <si>
    <t>nxtyr</t>
  </si>
  <si>
    <t>MB</t>
  </si>
  <si>
    <t>2017 Taxable Income (MB)</t>
  </si>
  <si>
    <t>non elg</t>
  </si>
  <si>
    <t>SK</t>
  </si>
  <si>
    <t>2017 Taxable Income (SK)</t>
  </si>
  <si>
    <t>Nonelg</t>
  </si>
  <si>
    <t>PQ</t>
  </si>
  <si>
    <t>2017 Taxable Income (PQ)</t>
  </si>
  <si>
    <t>Non elg</t>
  </si>
  <si>
    <t>NB</t>
  </si>
  <si>
    <t>2017 Taxable Income (NB)</t>
  </si>
  <si>
    <t>ElligDiv</t>
  </si>
  <si>
    <t>NS</t>
  </si>
  <si>
    <t>2017 Taxable Income (NS)</t>
  </si>
  <si>
    <t>el div</t>
  </si>
  <si>
    <t>nonelg</t>
  </si>
  <si>
    <t>NL</t>
  </si>
  <si>
    <t>2017 Taxable Income (NL)</t>
  </si>
  <si>
    <t>PEI</t>
  </si>
  <si>
    <t>2017 Taxable Income (PEI)</t>
  </si>
  <si>
    <t>elddiv</t>
  </si>
  <si>
    <t>Tax for actual province</t>
  </si>
  <si>
    <t>No Salary</t>
  </si>
  <si>
    <t>Corp Income</t>
  </si>
  <si>
    <r>
      <t>2018 Corporate Income Tax Rates</t>
    </r>
    <r>
      <rPr>
        <sz val="11"/>
        <color theme="1"/>
        <rFont val="Arial"/>
        <family val="2"/>
      </rPr>
      <t xml:space="preserve"> </t>
    </r>
  </si>
  <si>
    <t>Active Business Income</t>
  </si>
  <si>
    <t>Investment</t>
  </si>
  <si>
    <r>
      <t>General</t>
    </r>
    <r>
      <rPr>
        <sz val="11"/>
        <color theme="1"/>
        <rFont val="Arial"/>
        <family val="2"/>
      </rPr>
      <t xml:space="preserve"> </t>
    </r>
  </si>
  <si>
    <t>Small Business</t>
  </si>
  <si>
    <t>Business</t>
  </si>
  <si>
    <t>Income (CCPC)</t>
  </si>
  <si>
    <t>Corp Income and SB</t>
  </si>
  <si>
    <r>
      <t>(CCPC)</t>
    </r>
    <r>
      <rPr>
        <sz val="11"/>
        <color theme="1"/>
        <rFont val="Arial"/>
        <family val="2"/>
      </rPr>
      <t xml:space="preserve"> </t>
    </r>
  </si>
  <si>
    <r>
      <t>Limit</t>
    </r>
    <r>
      <rPr>
        <sz val="11"/>
        <color theme="1"/>
        <rFont val="Arial"/>
        <family val="2"/>
      </rPr>
      <t xml:space="preserve"> </t>
    </r>
  </si>
  <si>
    <t>CCPC Rate</t>
  </si>
  <si>
    <t>Reg Rate</t>
  </si>
  <si>
    <t>Total if Under 500K</t>
  </si>
  <si>
    <t>Total if Over 500k</t>
  </si>
  <si>
    <t>AB</t>
  </si>
  <si>
    <t>If over 500K</t>
  </si>
  <si>
    <t>NF</t>
  </si>
  <si>
    <t>PE</t>
  </si>
  <si>
    <t>Dividends</t>
  </si>
  <si>
    <t>Comb Rate</t>
  </si>
  <si>
    <t>Lower Income Spouse</t>
  </si>
  <si>
    <t>Higher Income Spouse</t>
  </si>
  <si>
    <t>Lower Inc</t>
  </si>
  <si>
    <t>Interest or Foreign Dividend</t>
  </si>
  <si>
    <t>High Inc</t>
  </si>
  <si>
    <t>Net Cash Flow</t>
  </si>
  <si>
    <t>Capital Gains (unrealized)</t>
  </si>
  <si>
    <t>Projected Investment Returns</t>
  </si>
  <si>
    <t>Eligible Dividend Yield</t>
  </si>
  <si>
    <t>Interest or Foreign Dividend Yield</t>
  </si>
  <si>
    <t>Gross Investment Income</t>
  </si>
  <si>
    <t>Lower</t>
  </si>
  <si>
    <t>Low Inc with Investment</t>
  </si>
  <si>
    <t>Low Inv Inv</t>
  </si>
  <si>
    <t>High Inc With interest</t>
  </si>
  <si>
    <t>High Inc With Interest</t>
  </si>
  <si>
    <t>Low Inc Inv</t>
  </si>
  <si>
    <t>High Inc with Int</t>
  </si>
  <si>
    <t>www.looniedoctor.ca</t>
  </si>
  <si>
    <t>High Income Spouse</t>
  </si>
  <si>
    <t>Joint Acct High</t>
  </si>
  <si>
    <t>Joint Acct low</t>
  </si>
  <si>
    <t>Joint Low</t>
  </si>
  <si>
    <t>Jointlow</t>
  </si>
  <si>
    <t>Jointhigh</t>
  </si>
  <si>
    <t>Joint High</t>
  </si>
  <si>
    <t>Joint Combined Invest Tax</t>
  </si>
  <si>
    <t>Performance While Accumulating</t>
  </si>
  <si>
    <t>After Tax Income While Drawing</t>
  </si>
  <si>
    <t>High Invests</t>
  </si>
  <si>
    <t>High Inv</t>
  </si>
  <si>
    <t>RRSP/RRIF Withdrawals</t>
  </si>
  <si>
    <t>Withdrawal Rate From Taxable Account</t>
  </si>
  <si>
    <t>Lower Income</t>
  </si>
  <si>
    <t>Higher Income</t>
  </si>
  <si>
    <t>Taxable Account Holder:</t>
  </si>
  <si>
    <t>Low Income Spouse</t>
  </si>
  <si>
    <t>High Income Spouse taxes</t>
  </si>
  <si>
    <t>Low Income Spouse taxes</t>
  </si>
  <si>
    <t>Household After-Tax Income</t>
  </si>
  <si>
    <t>Dividends Withdrawn</t>
  </si>
  <si>
    <t>Capital Gains Realized</t>
  </si>
  <si>
    <t>Total Withdrawal</t>
  </si>
  <si>
    <t>W Sp High</t>
  </si>
  <si>
    <t>W Sp H</t>
  </si>
  <si>
    <t>Gross Household Income</t>
  </si>
  <si>
    <t>W Sp Low</t>
  </si>
  <si>
    <t>W Sp low</t>
  </si>
  <si>
    <t>W J High</t>
  </si>
  <si>
    <t>W J Low</t>
  </si>
  <si>
    <t>W High high</t>
  </si>
  <si>
    <t>W hi hi</t>
  </si>
  <si>
    <t>W Hi lo</t>
  </si>
  <si>
    <t>W hi lo</t>
  </si>
  <si>
    <t>Sp Lo no tax</t>
  </si>
  <si>
    <t>Sp lo no tax</t>
  </si>
  <si>
    <t>Low Inc</t>
  </si>
  <si>
    <t>Low Inc With</t>
  </si>
  <si>
    <t>High Inc With</t>
  </si>
  <si>
    <t>Instructions: Fill in the yellow fields. There is extra info if you hover over the little red triangles.</t>
  </si>
  <si>
    <t>Useful Links</t>
  </si>
  <si>
    <t>Disclaimer: This calculator is basic and for illustrative purposes. Actual taxes are more complicated and may vary due to multiple other factors. You should do your own due diligence and consult experts as needed for your own situation.</t>
  </si>
  <si>
    <t>Gross Income</t>
  </si>
  <si>
    <t>Amount</t>
  </si>
  <si>
    <t>Loan</t>
  </si>
  <si>
    <t>Baseline Information</t>
  </si>
  <si>
    <t>Projected Investment Income</t>
  </si>
  <si>
    <t>Interst or Foreign Dividends</t>
  </si>
  <si>
    <t>Income Sources While Drawing</t>
  </si>
  <si>
    <t>Net Tax on Inv Inc</t>
  </si>
  <si>
    <t>ExtraDiv</t>
  </si>
  <si>
    <t>Extr Div</t>
  </si>
  <si>
    <t>Tax Drag</t>
  </si>
  <si>
    <t>Elg. Dividends Withdrawn</t>
  </si>
  <si>
    <t>CCPC hi</t>
  </si>
  <si>
    <t>CCPC Hi</t>
  </si>
  <si>
    <t>Int Drag</t>
  </si>
  <si>
    <t>Account balance</t>
  </si>
  <si>
    <t>dividend</t>
  </si>
  <si>
    <t>interest income</t>
  </si>
  <si>
    <t>interest drag</t>
  </si>
  <si>
    <t>Dividend Tax Drag</t>
  </si>
  <si>
    <t>Int Tax Drag</t>
  </si>
  <si>
    <t>Dividend tax rate</t>
  </si>
  <si>
    <t>Taxable income</t>
  </si>
  <si>
    <t>total drag</t>
  </si>
  <si>
    <t>L Spouse Baseline tax</t>
  </si>
  <si>
    <t>Total Avg Tax Drag</t>
  </si>
  <si>
    <t>total or weighted mean</t>
  </si>
  <si>
    <t>high Income Investor</t>
  </si>
  <si>
    <t>Interest Rate Years 1-5</t>
  </si>
  <si>
    <t>Interest Rate Years 6-10</t>
  </si>
  <si>
    <t>Interest Rate Years 11-15</t>
  </si>
  <si>
    <t>Interest Rate Years 16-20</t>
  </si>
  <si>
    <t>Interest Rate Years 21-25</t>
  </si>
  <si>
    <t>Loan Information</t>
  </si>
  <si>
    <t>Initial Loan Amount</t>
  </si>
  <si>
    <t>Average Annual Investment Income</t>
  </si>
  <si>
    <t>Average Annual Capital Gains</t>
  </si>
  <si>
    <t>1st Year income</t>
  </si>
  <si>
    <t>Total Investment Return and Income</t>
  </si>
  <si>
    <t>Year1</t>
  </si>
  <si>
    <t>Initial Interest Expenses</t>
  </si>
  <si>
    <t>Net Investment Income</t>
  </si>
  <si>
    <t>Net Investment Income ( or Loss)</t>
  </si>
  <si>
    <t>Intial Gross Investment Income (excl Cap Gains)</t>
  </si>
  <si>
    <t>Intial Tax on Investment Income (excl Cap Gains)</t>
  </si>
  <si>
    <t>Initial Capital Gains</t>
  </si>
  <si>
    <t>Investment Loan Calculator</t>
  </si>
  <si>
    <t>Net Household Total Investment Income</t>
  </si>
  <si>
    <t>Initial Total Tax &amp; Interest Drag on Portfolio</t>
  </si>
  <si>
    <t>Year 1</t>
  </si>
  <si>
    <t>Home Equity Loan Income Splitting Article</t>
  </si>
  <si>
    <t>Home Equity Loan Income Splitting Case</t>
  </si>
  <si>
    <t>Loan Interest</t>
  </si>
  <si>
    <t>Intial Values in 1st Year</t>
  </si>
  <si>
    <t>Average Values While Accumulating Over 25 Years</t>
  </si>
  <si>
    <t>Projected Average Inflation (Used to Correct From Nominal Dollars into "Current" Dollars)</t>
  </si>
  <si>
    <t>Loan Erosion from Inflation</t>
  </si>
  <si>
    <t>No Loan (Baseline)</t>
  </si>
  <si>
    <t>Low Inc Spouse</t>
  </si>
  <si>
    <t>High Inc Spouse</t>
  </si>
  <si>
    <t>W No Loan High</t>
  </si>
  <si>
    <t>W No Loan Low</t>
  </si>
  <si>
    <t>in "Current Dollars"</t>
  </si>
  <si>
    <t>Above Values Adjusted for Inflation to show in "Current Dollars"</t>
  </si>
  <si>
    <t>Interest Drag</t>
  </si>
  <si>
    <t>Projected Average Inflation</t>
  </si>
  <si>
    <t>All values adjusted for inflation to give "Current Dollars"</t>
  </si>
  <si>
    <t>Initial Tax Drag on Portfolio Return</t>
  </si>
  <si>
    <t>Loan Interest Drag on Portfolio Return</t>
  </si>
  <si>
    <t>Interest in Current Dollars</t>
  </si>
  <si>
    <t>Average Annual Interest Cost</t>
  </si>
  <si>
    <t>All values are adjusted for inflation ("current" dollars)</t>
  </si>
  <si>
    <t>Link to historical inflation rates</t>
  </si>
  <si>
    <r>
      <t>Portfolio Value in 25 Years</t>
    </r>
    <r>
      <rPr>
        <u/>
        <sz val="11"/>
        <color rgb="FF3F3F76"/>
        <rFont val="Calibri"/>
        <family val="2"/>
        <scheme val="minor"/>
      </rPr>
      <t xml:space="preserve"> After Paying Loan Back</t>
    </r>
    <r>
      <rPr>
        <sz val="11"/>
        <color rgb="FF3F3F76"/>
        <rFont val="Calibri"/>
        <family val="2"/>
        <scheme val="minor"/>
      </rPr>
      <t xml:space="preserve"> and </t>
    </r>
    <r>
      <rPr>
        <u/>
        <sz val="11"/>
        <color rgb="FF3F3F76"/>
        <rFont val="Calibri"/>
        <family val="2"/>
        <scheme val="minor"/>
      </rPr>
      <t>Adjusted for Inflation</t>
    </r>
    <r>
      <rPr>
        <sz val="11"/>
        <color rgb="FF3F3F76"/>
        <rFont val="Calibri"/>
        <family val="2"/>
        <scheme val="minor"/>
      </rPr>
      <t xml:space="preserve"> (In "Current" Dollars)</t>
    </r>
  </si>
  <si>
    <t>Portfolio Details Over Time For Low Income Spouse</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</si>
  <si>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</si>
  <si>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</si>
  <si>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</si>
  <si>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</si>
  <si>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</si>
  <si>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</si>
  <si>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</si>
  <si>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</si>
  <si>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</si>
  <si>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</si>
  <si>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</si>
  <si>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</si>
  <si>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</si>
  <si>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</si>
  <si>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</si>
  <si>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</si>
  <si>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</si>
  <si>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</si>
  <si>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0</t>
  </si>
  <si>
    <t>Year 20</t>
  </si>
  <si>
    <t>Year 21</t>
  </si>
  <si>
    <t>Year 22</t>
  </si>
  <si>
    <t>Year 23</t>
  </si>
  <si>
    <t>Year 24</t>
  </si>
  <si>
    <t>Year 25</t>
  </si>
  <si>
    <t>Account Balance</t>
  </si>
  <si>
    <t>Loan (Adj for Inflation Erosion)</t>
  </si>
  <si>
    <t>Dividend Income</t>
  </si>
  <si>
    <t>total Tax Drag</t>
  </si>
  <si>
    <t>Tax Drag (excl Cap Gains)</t>
  </si>
  <si>
    <t>Loan Interest Drag</t>
  </si>
  <si>
    <t>Total Drag</t>
  </si>
  <si>
    <t>Interest &amp; Foreign Income</t>
  </si>
  <si>
    <t>All values in this chart are adjusted for inflation to show in "current dollars"</t>
  </si>
  <si>
    <t>Interest Rate</t>
  </si>
  <si>
    <t>Portfolio Value (Current Dollars)</t>
  </si>
  <si>
    <t>Loan Value (Current Dollars)</t>
  </si>
  <si>
    <t>Value After Loan Repaid (Current Dollars)</t>
  </si>
  <si>
    <t>Year 15+</t>
  </si>
  <si>
    <t>Balance after loan paid back</t>
  </si>
  <si>
    <t>Year</t>
  </si>
  <si>
    <t xml:space="preserve"> Value (Current Dollars)</t>
  </si>
  <si>
    <t>Net Value After Paying Loan 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</si>
</sst>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_(&quot;$&quot;* #,##0_);_(&quot;$&quot;* \(#,##0\);_(&quot;$&quot;* &quot;-&quot;??_);_(@_)"/>
    <numFmt numFmtId="165" formatCode=";;;"/>
    <numFmt numFmtId="166" formatCode="0.0%"/>
    <numFmt numFmtId="167" formatCode="_(&quot;$&quot;* #,##0.0_);_(&quot;$&quot;* \(#,##0.0\);_(&quot;$&quot;* &quot;-&quot;?_);_(@_)"/>
    <numFmt numFmtId="168" formatCode="0.000%"/>
  </numFmts>
  <fonts count="32"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20"/>
      <name val="Calibri"/>
      <family val="2"/>
      <scheme val="minor"/>
    </font>
    <font>
      <u/>
      <sz val="11"/>
      <color theme="10"/>
      <name val="Calibri"/>
      <family val="2"/>
      <scheme val="minor"/>
    </font>
    <font>
      <b/>
      <u/>
      <sz val="11"/>
      <color theme="1"/>
      <name val="Calibri"/>
      <family val="2"/>
      <scheme val="minor"/>
    </font>
    <font>
      <sz val="10"/>
      <color rgb="FFFFFFFF"/>
      <name val="Arial"/>
      <family val="2"/>
    </font>
    <font>
      <b/>
      <sz val="12"/>
      <color theme="1"/>
      <name val="Calibri"/>
      <family val="2"/>
      <scheme val="minor"/>
    </font>
    <font>
      <sz val="12"/>
      <color theme="1"/>
      <name val="Calibri"/>
      <family val="2"/>
      <scheme val="minor"/>
    </font>
    <font>
      <b/>
      <sz val="11"/>
      <color theme="2"/>
      <name val="Calibri"/>
      <family val="2"/>
      <scheme val="minor"/>
    </font>
    <font>
      <sz val="20"/>
      <color theme="2"/>
      <name val="Calibri"/>
      <family val="2"/>
      <scheme val="minor"/>
    </font>
    <font>
      <sz val="11"/>
      <color theme="2"/>
      <name val="Calibri"/>
      <family val="2"/>
      <scheme val="minor"/>
    </font>
    <font>
      <sz val="11"/>
      <color theme="0" tint="-4.9989318521683403E-2"/>
      <name val="Calibri"/>
      <family val="2"/>
      <scheme val="minor"/>
    </font>
    <font>
      <sz val="10"/>
      <color theme="1"/>
      <name val="Arial"/>
      <family val="2"/>
    </font>
    <font>
      <sz val="11"/>
      <name val="Calibri"/>
      <family val="2"/>
      <scheme val="minor"/>
    </font>
    <font>
      <b/>
      <sz val="11"/>
      <color rgb="FFFFFFFF"/>
      <name val="Arial"/>
      <family val="2"/>
    </font>
    <font>
      <sz val="11"/>
      <color theme="1"/>
      <name val="Arial"/>
      <family val="2"/>
    </font>
    <font>
      <sz val="11"/>
      <name val="Arial"/>
      <family val="2"/>
    </font>
    <font>
      <b/>
      <sz val="9"/>
      <color indexed="81"/>
      <name val="Tahoma"/>
      <family val="2"/>
    </font>
    <font>
      <sz val="16"/>
      <color theme="2"/>
      <name val="Calibri"/>
      <family val="2"/>
      <scheme val="minor"/>
    </font>
    <font>
      <sz val="16"/>
      <name val="Calibri"/>
      <family val="2"/>
      <scheme val="minor"/>
    </font>
    <font>
      <sz val="14"/>
      <color theme="2"/>
      <name val="Calibri"/>
      <family val="2"/>
      <scheme val="minor"/>
    </font>
    <font>
      <sz val="16"/>
      <color theme="0" tint="-4.9989318521683403E-2"/>
      <name val="Calibri"/>
      <family val="2"/>
      <scheme val="minor"/>
    </font>
    <font>
      <sz val="18"/>
      <color theme="4" tint="0.79998168889431442"/>
      <name val="Calibri"/>
      <family val="2"/>
      <scheme val="minor"/>
    </font>
    <font>
      <b/>
      <sz val="18"/>
      <name val="Calibri"/>
      <family val="2"/>
      <scheme val="minor"/>
    </font>
    <font>
      <sz val="18"/>
      <color theme="2"/>
      <name val="Calibri"/>
      <family val="2"/>
      <scheme val="minor"/>
    </font>
    <font>
      <sz val="9"/>
      <color theme="2"/>
      <name val="Calibri"/>
      <family val="2"/>
      <scheme val="minor"/>
    </font>
    <font>
      <sz val="10"/>
      <color theme="2"/>
      <name val="Calibri"/>
      <family val="2"/>
      <scheme val="minor"/>
    </font>
    <font>
      <sz val="28"/>
      <name val="Calibri"/>
      <family val="2"/>
      <scheme val="minor"/>
    </font>
    <font>
      <u/>
      <sz val="11"/>
      <color theme="1"/>
      <name val="Calibri"/>
      <family val="2"/>
      <scheme val="minor"/>
    </font>
    <font>
      <u/>
      <sz val="11"/>
      <color rgb="FF3F3F76"/>
      <name val="Calibri"/>
      <family val="2"/>
      <scheme val="minor"/>
    </font>
  </fonts>
  <fills count="19">
    <fill>
      <patternFill patternType="none"/>
    </fill>
    <fill>
      <patternFill patternType="gray125"/>
    </fill>
    <fill>
      <patternFill patternType="solid">
        <fgColor rgb="FFFFCC99"/>
      </patternFill>
    </fill>
    <fill>
      <patternFill patternType="solid">
        <fgColor rgb="FFFFFFCC"/>
      </patternFill>
    </fill>
    <fill>
      <patternFill patternType="solid">
        <fgColor rgb="FF0070C0"/>
        <bgColor indexed="64"/>
      </patternFill>
    </fill>
    <fill>
      <patternFill patternType="solid">
        <fgColor theme="8" tint="-0.249977111117893"/>
        <bgColor indexed="64"/>
      </patternFill>
    </fill>
    <fill>
      <patternFill patternType="solid">
        <fgColor theme="0"/>
        <bgColor indexed="64"/>
      </patternFill>
    </fill>
    <fill>
      <patternFill patternType="solid">
        <fgColor theme="4" tint="0.39997558519241921"/>
        <bgColor indexed="64"/>
      </patternFill>
    </fill>
    <fill>
      <patternFill patternType="solid">
        <fgColor theme="3"/>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C0C0C0"/>
        <bgColor indexed="64"/>
      </patternFill>
    </fill>
    <fill>
      <patternFill patternType="solid">
        <fgColor theme="2"/>
        <bgColor indexed="64"/>
      </patternFill>
    </fill>
    <fill>
      <patternFill patternType="solid">
        <fgColor rgb="FF336699"/>
        <bgColor indexed="64"/>
      </patternFill>
    </fill>
    <fill>
      <patternFill patternType="solid">
        <fgColor rgb="FFFFFF00"/>
        <bgColor indexed="64"/>
      </patternFill>
    </fill>
    <fill>
      <patternFill patternType="solid">
        <fgColor theme="7" tint="0.39997558519241921"/>
        <bgColor indexed="65"/>
      </patternFill>
    </fill>
    <fill>
      <patternFill patternType="solid">
        <fgColor theme="4" tint="0.59999389629810485"/>
        <bgColor indexed="64"/>
      </patternFill>
    </fill>
    <fill>
      <patternFill patternType="solid">
        <fgColor theme="2" tint="-9.9978637043366805E-2"/>
        <bgColor indexed="64"/>
      </patternFill>
    </fill>
  </fills>
  <borders count="81">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rgb="FF000000"/>
      </right>
      <top/>
      <bottom/>
      <diagonal/>
    </border>
    <border>
      <left style="thin">
        <color rgb="FF000000"/>
      </left>
      <right/>
      <top style="thin">
        <color rgb="FF00000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medium">
        <color indexed="64"/>
      </right>
      <top/>
      <bottom style="thin">
        <color rgb="FFB2B2B2"/>
      </bottom>
      <diagonal/>
    </border>
    <border>
      <left style="thin">
        <color indexed="64"/>
      </left>
      <right style="thin">
        <color indexed="64"/>
      </right>
      <top/>
      <bottom/>
      <diagonal/>
    </border>
    <border>
      <left/>
      <right style="medium">
        <color indexed="64"/>
      </right>
      <top style="thin">
        <color rgb="FFB2B2B2"/>
      </top>
      <bottom style="thin">
        <color rgb="FFB2B2B2"/>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style="thin">
        <color rgb="FF000000"/>
      </right>
      <top style="thin">
        <color rgb="FF000000"/>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medium">
        <color indexed="64"/>
      </left>
      <right style="medium">
        <color indexed="64"/>
      </right>
      <top style="medium">
        <color indexed="64"/>
      </top>
      <bottom style="medium">
        <color indexed="64"/>
      </bottom>
      <diagonal/>
    </border>
    <border>
      <left style="thin">
        <color rgb="FFB2B2B2"/>
      </left>
      <right style="medium">
        <color indexed="64"/>
      </right>
      <top style="thin">
        <color rgb="FFB2B2B2"/>
      </top>
      <bottom style="thin">
        <color rgb="FFB2B2B2"/>
      </bottom>
      <diagonal/>
    </border>
    <border>
      <left/>
      <right style="thin">
        <color rgb="FFB2B2B2"/>
      </right>
      <top/>
      <bottom style="medium">
        <color indexed="64"/>
      </bottom>
      <diagonal/>
    </border>
    <border>
      <left style="thin">
        <color rgb="FFB2B2B2"/>
      </left>
      <right style="medium">
        <color indexed="64"/>
      </right>
      <top style="thin">
        <color rgb="FFB2B2B2"/>
      </top>
      <bottom style="medium">
        <color indexed="64"/>
      </bottom>
      <diagonal/>
    </border>
    <border>
      <left style="thin">
        <color rgb="FFB2B2B2"/>
      </left>
      <right style="thin">
        <color rgb="FFB2B2B2"/>
      </right>
      <top style="thin">
        <color rgb="FFB2B2B2"/>
      </top>
      <bottom style="medium">
        <color indexed="64"/>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style="thin">
        <color rgb="FF7F7F7F"/>
      </left>
      <right style="medium">
        <color indexed="64"/>
      </right>
      <top style="thin">
        <color rgb="FF7F7F7F"/>
      </top>
      <bottom style="medium">
        <color indexed="64"/>
      </bottom>
      <diagonal/>
    </border>
    <border>
      <left style="thin">
        <color rgb="FFB2B2B2"/>
      </left>
      <right/>
      <top/>
      <bottom/>
      <diagonal/>
    </border>
    <border>
      <left style="medium">
        <color indexed="64"/>
      </left>
      <right style="medium">
        <color indexed="64"/>
      </right>
      <top style="thin">
        <color rgb="FF7F7F7F"/>
      </top>
      <bottom style="medium">
        <color indexed="64"/>
      </bottom>
      <diagonal/>
    </border>
    <border>
      <left/>
      <right style="medium">
        <color indexed="64"/>
      </right>
      <top style="thin">
        <color rgb="FF7F7F7F"/>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rgb="FFB2B2B2"/>
      </right>
      <top style="medium">
        <color indexed="64"/>
      </top>
      <bottom style="medium">
        <color indexed="64"/>
      </bottom>
      <diagonal/>
    </border>
    <border>
      <left style="thin">
        <color rgb="FFB2B2B2"/>
      </left>
      <right style="medium">
        <color indexed="64"/>
      </right>
      <top style="medium">
        <color indexed="64"/>
      </top>
      <bottom style="thin">
        <color rgb="FFB2B2B2"/>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rgb="FFB2B2B2"/>
      </top>
      <bottom style="thin">
        <color indexed="64"/>
      </bottom>
      <diagonal/>
    </border>
    <border>
      <left style="thin">
        <color rgb="FFB2B2B2"/>
      </left>
      <right/>
      <top style="medium">
        <color indexed="64"/>
      </top>
      <bottom style="medium">
        <color indexed="64"/>
      </bottom>
      <diagonal/>
    </border>
    <border>
      <left style="thin">
        <color rgb="FFB2B2B2"/>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rgb="FF7F7F7F"/>
      </left>
      <right style="thin">
        <color rgb="FF7F7F7F"/>
      </right>
      <top style="thin">
        <color rgb="FF7F7F7F"/>
      </top>
      <bottom/>
      <diagonal/>
    </border>
    <border>
      <left/>
      <right style="medium">
        <color indexed="64"/>
      </right>
      <top style="thin">
        <color rgb="FF7F7F7F"/>
      </top>
      <bottom/>
      <diagonal/>
    </border>
    <border>
      <left style="medium">
        <color indexed="64"/>
      </left>
      <right style="medium">
        <color indexed="64"/>
      </right>
      <top style="thin">
        <color rgb="FF7F7F7F"/>
      </top>
      <bottom/>
      <diagonal/>
    </border>
    <border>
      <left style="medium">
        <color indexed="64"/>
      </left>
      <right/>
      <top style="thin">
        <color rgb="FF7F7F7F"/>
      </top>
      <bottom/>
      <diagonal/>
    </border>
    <border>
      <left/>
      <right style="thin">
        <color rgb="FF7F7F7F"/>
      </right>
      <top style="thin">
        <color rgb="FF7F7F7F"/>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1" fillId="3" borderId="2" applyNumberFormat="0" applyFont="0" applyAlignment="0" applyProtection="0"/>
    <xf numFmtId="0" fontId="5" fillId="0" borderId="0" applyNumberFormat="0" applyFill="0" applyBorder="0" applyAlignment="0" applyProtection="0"/>
    <xf numFmtId="0" fontId="1" fillId="16" borderId="0" applyNumberFormat="0" applyBorder="0" applyAlignment="0" applyProtection="0"/>
  </cellStyleXfs>
  <cellXfs count="569">
    <xf numFmtId="0" fontId="0" fillId="0" borderId="0" xfId="0"/>
    <xf numFmtId="0" fontId="0" fillId="4" borderId="0" xfId="0" applyFill="1" applyProtection="1"/>
    <xf numFmtId="0" fontId="0" fillId="6" borderId="0" xfId="0" applyFill="1"/>
    <xf numFmtId="0" fontId="0" fillId="6" borderId="0" xfId="0" applyNumberFormat="1" applyFill="1"/>
    <xf numFmtId="0" fontId="0" fillId="4" borderId="0" xfId="0" applyFill="1"/>
    <xf numFmtId="0" fontId="4" fillId="4" borderId="0" xfId="0" applyFont="1" applyFill="1" applyBorder="1" applyAlignment="1" applyProtection="1">
      <alignment horizontal="center" vertical="center"/>
    </xf>
    <xf numFmtId="0" fontId="0" fillId="6" borderId="0" xfId="0" applyFill="1" applyAlignment="1">
      <alignment horizontal="center"/>
    </xf>
    <xf numFmtId="0" fontId="6" fillId="6" borderId="0" xfId="0" applyNumberFormat="1" applyFont="1" applyFill="1"/>
    <xf numFmtId="0" fontId="0" fillId="0" borderId="0" xfId="0" applyNumberFormat="1"/>
    <xf numFmtId="0" fontId="7" fillId="8" borderId="0"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8" fillId="0" borderId="0" xfId="0" applyFont="1"/>
    <xf numFmtId="3" fontId="0" fillId="0" borderId="0" xfId="0" applyNumberFormat="1"/>
    <xf numFmtId="0" fontId="0" fillId="6" borderId="0" xfId="0" applyNumberFormat="1" applyFill="1" applyAlignment="1">
      <alignment vertical="top"/>
    </xf>
    <xf numFmtId="164" fontId="0" fillId="0" borderId="0" xfId="1" applyNumberFormat="1" applyFont="1" applyAlignment="1">
      <alignment vertical="top"/>
    </xf>
    <xf numFmtId="0" fontId="0" fillId="0" borderId="0" xfId="0" applyAlignment="1">
      <alignment vertical="top"/>
    </xf>
    <xf numFmtId="0" fontId="7" fillId="8" borderId="0" xfId="0" applyFont="1" applyFill="1" applyBorder="1" applyAlignment="1">
      <alignment horizontal="center" vertical="top" wrapText="1"/>
    </xf>
    <xf numFmtId="0" fontId="7" fillId="8" borderId="6" xfId="0" applyFont="1" applyFill="1" applyBorder="1" applyAlignment="1">
      <alignment horizontal="center" vertical="top" wrapText="1"/>
    </xf>
    <xf numFmtId="0" fontId="7" fillId="8" borderId="11" xfId="0" applyFont="1" applyFill="1" applyBorder="1" applyAlignment="1">
      <alignment horizontal="center" vertical="top" wrapText="1"/>
    </xf>
    <xf numFmtId="3" fontId="9" fillId="0" borderId="0" xfId="0" applyNumberFormat="1" applyFont="1" applyAlignment="1">
      <alignment horizontal="center" vertical="top"/>
    </xf>
    <xf numFmtId="0" fontId="0" fillId="0" borderId="0" xfId="0" applyAlignment="1">
      <alignment horizontal="center" vertical="top"/>
    </xf>
    <xf numFmtId="0" fontId="9" fillId="0" borderId="0" xfId="0" applyFont="1" applyAlignment="1">
      <alignment horizontal="center" vertical="top"/>
    </xf>
    <xf numFmtId="0" fontId="0" fillId="4" borderId="0" xfId="0" applyFill="1" applyBorder="1" applyProtection="1"/>
    <xf numFmtId="164" fontId="0" fillId="6" borderId="0" xfId="1" applyNumberFormat="1" applyFont="1" applyFill="1" applyAlignment="1">
      <alignment vertical="top"/>
    </xf>
    <xf numFmtId="0" fontId="0" fillId="6" borderId="0" xfId="0" applyFill="1" applyAlignment="1">
      <alignment vertical="top"/>
    </xf>
    <xf numFmtId="0" fontId="7" fillId="6" borderId="12" xfId="0" applyFont="1" applyFill="1" applyBorder="1" applyAlignment="1">
      <alignment horizontal="center" vertical="top" wrapText="1"/>
    </xf>
    <xf numFmtId="0" fontId="7" fillId="6" borderId="13" xfId="0" applyFont="1" applyFill="1" applyBorder="1" applyAlignment="1">
      <alignment horizontal="center" vertical="top" wrapText="1"/>
    </xf>
    <xf numFmtId="0" fontId="7" fillId="6" borderId="14" xfId="0" applyFont="1" applyFill="1" applyBorder="1" applyAlignment="1">
      <alignment horizontal="center" vertical="top" wrapText="1"/>
    </xf>
    <xf numFmtId="0" fontId="7" fillId="6" borderId="0" xfId="0" applyFont="1" applyFill="1" applyBorder="1" applyAlignment="1">
      <alignment horizontal="center" vertical="top" wrapText="1"/>
    </xf>
    <xf numFmtId="0" fontId="0" fillId="6" borderId="0" xfId="0" applyFill="1" applyAlignment="1">
      <alignment horizontal="center" vertical="top"/>
    </xf>
    <xf numFmtId="10" fontId="0" fillId="6" borderId="0" xfId="0" applyNumberFormat="1" applyFill="1" applyAlignment="1">
      <alignment vertical="top"/>
    </xf>
    <xf numFmtId="10" fontId="9" fillId="6" borderId="0" xfId="0" applyNumberFormat="1" applyFont="1" applyFill="1" applyAlignment="1">
      <alignment vertical="top"/>
    </xf>
    <xf numFmtId="0" fontId="0" fillId="4" borderId="0" xfId="0" applyFill="1" applyAlignment="1">
      <alignment vertical="top"/>
    </xf>
    <xf numFmtId="0" fontId="10" fillId="4" borderId="0" xfId="0" applyFont="1" applyFill="1" applyBorder="1" applyProtection="1"/>
    <xf numFmtId="0" fontId="0" fillId="4" borderId="0" xfId="4" applyFont="1" applyFill="1" applyBorder="1" applyAlignment="1" applyProtection="1">
      <alignment horizontal="center"/>
    </xf>
    <xf numFmtId="0" fontId="7" fillId="6" borderId="15" xfId="0" applyFont="1" applyFill="1" applyBorder="1" applyAlignment="1">
      <alignment horizontal="center" vertical="top" wrapText="1"/>
    </xf>
    <xf numFmtId="0" fontId="0" fillId="7" borderId="17" xfId="0" applyFill="1" applyBorder="1" applyProtection="1"/>
    <xf numFmtId="44" fontId="14" fillId="6" borderId="19" xfId="1" applyFont="1" applyFill="1" applyBorder="1" applyAlignment="1">
      <alignment horizontal="center" vertical="top" wrapText="1"/>
    </xf>
    <xf numFmtId="10" fontId="14" fillId="6" borderId="19" xfId="0" applyNumberFormat="1" applyFont="1" applyFill="1" applyBorder="1" applyAlignment="1">
      <alignment horizontal="right" vertical="top" wrapText="1"/>
    </xf>
    <xf numFmtId="10" fontId="14" fillId="6" borderId="0" xfId="2" applyNumberFormat="1" applyFont="1" applyFill="1" applyBorder="1" applyAlignment="1">
      <alignment horizontal="right" vertical="top" wrapText="1"/>
    </xf>
    <xf numFmtId="3" fontId="0" fillId="6" borderId="0" xfId="0" applyNumberFormat="1" applyFill="1" applyAlignment="1">
      <alignment vertical="top"/>
    </xf>
    <xf numFmtId="164" fontId="9" fillId="6" borderId="0" xfId="1" applyNumberFormat="1" applyFont="1" applyFill="1" applyAlignment="1">
      <alignment vertical="top"/>
    </xf>
    <xf numFmtId="164" fontId="9" fillId="4" borderId="0" xfId="1" applyNumberFormat="1" applyFont="1" applyFill="1" applyAlignment="1">
      <alignment vertical="top"/>
    </xf>
    <xf numFmtId="44" fontId="9" fillId="6" borderId="0" xfId="1" applyNumberFormat="1" applyFont="1" applyFill="1" applyAlignment="1">
      <alignment vertical="top"/>
    </xf>
    <xf numFmtId="10" fontId="0" fillId="4" borderId="0" xfId="2" applyNumberFormat="1" applyFont="1" applyFill="1" applyAlignment="1">
      <alignment vertical="top"/>
    </xf>
    <xf numFmtId="0" fontId="0" fillId="4" borderId="0" xfId="0" applyFill="1" applyBorder="1"/>
    <xf numFmtId="0" fontId="3" fillId="3" borderId="17" xfId="4" applyFont="1" applyBorder="1" applyAlignment="1" applyProtection="1">
      <alignment horizontal="center" vertical="top"/>
      <protection locked="0"/>
    </xf>
    <xf numFmtId="165" fontId="0" fillId="4" borderId="0" xfId="0" applyNumberFormat="1" applyFill="1" applyBorder="1" applyProtection="1"/>
    <xf numFmtId="164" fontId="0" fillId="10" borderId="16" xfId="1" applyNumberFormat="1" applyFont="1" applyFill="1" applyBorder="1" applyProtection="1"/>
    <xf numFmtId="164" fontId="0" fillId="10" borderId="18" xfId="1" applyNumberFormat="1" applyFont="1" applyFill="1" applyBorder="1" applyProtection="1"/>
    <xf numFmtId="10" fontId="0" fillId="10" borderId="17" xfId="2" applyNumberFormat="1" applyFont="1" applyFill="1" applyBorder="1" applyProtection="1"/>
    <xf numFmtId="44" fontId="14" fillId="6" borderId="19" xfId="0" applyNumberFormat="1" applyFont="1" applyFill="1" applyBorder="1" applyAlignment="1">
      <alignment horizontal="center" vertical="top" wrapText="1"/>
    </xf>
    <xf numFmtId="3" fontId="14" fillId="6" borderId="19" xfId="0" applyNumberFormat="1" applyFont="1" applyFill="1" applyBorder="1" applyAlignment="1">
      <alignment horizontal="center" vertical="top" wrapText="1"/>
    </xf>
    <xf numFmtId="164" fontId="1" fillId="3" borderId="17" xfId="4" applyNumberFormat="1" applyFont="1" applyBorder="1" applyAlignment="1" applyProtection="1">
      <alignment horizontal="center"/>
      <protection locked="0"/>
    </xf>
    <xf numFmtId="164" fontId="0" fillId="11" borderId="16" xfId="1" applyNumberFormat="1" applyFont="1" applyFill="1" applyBorder="1" applyProtection="1"/>
    <xf numFmtId="164" fontId="0" fillId="11" borderId="18" xfId="1" applyNumberFormat="1" applyFont="1" applyFill="1" applyBorder="1" applyProtection="1"/>
    <xf numFmtId="10" fontId="0" fillId="11" borderId="17" xfId="2" applyNumberFormat="1" applyFont="1" applyFill="1" applyBorder="1" applyProtection="1"/>
    <xf numFmtId="0" fontId="0" fillId="6" borderId="0" xfId="1" applyNumberFormat="1" applyFont="1" applyFill="1" applyAlignment="1">
      <alignment vertical="top"/>
    </xf>
    <xf numFmtId="164" fontId="15" fillId="10" borderId="16" xfId="1" applyNumberFormat="1" applyFont="1" applyFill="1" applyBorder="1" applyProtection="1"/>
    <xf numFmtId="164" fontId="15" fillId="10" borderId="18" xfId="1" applyNumberFormat="1" applyFont="1" applyFill="1" applyBorder="1" applyProtection="1"/>
    <xf numFmtId="10" fontId="15" fillId="10" borderId="17" xfId="2" applyNumberFormat="1" applyFont="1" applyFill="1" applyBorder="1" applyProtection="1"/>
    <xf numFmtId="10" fontId="0" fillId="6" borderId="21" xfId="2" applyNumberFormat="1" applyFont="1" applyFill="1" applyBorder="1"/>
    <xf numFmtId="44" fontId="0" fillId="6" borderId="0" xfId="0" applyNumberFormat="1" applyFill="1" applyAlignment="1">
      <alignment vertical="top"/>
    </xf>
    <xf numFmtId="0" fontId="0" fillId="7" borderId="0" xfId="0" applyFill="1"/>
    <xf numFmtId="164" fontId="0" fillId="4" borderId="0" xfId="1" applyNumberFormat="1" applyFont="1" applyFill="1"/>
    <xf numFmtId="164" fontId="0" fillId="6" borderId="0" xfId="0" applyNumberFormat="1" applyFill="1"/>
    <xf numFmtId="44" fontId="14" fillId="6" borderId="19" xfId="0" applyNumberFormat="1" applyFont="1" applyFill="1" applyBorder="1" applyAlignment="1">
      <alignment horizontal="center" vertical="center" wrapText="1"/>
    </xf>
    <xf numFmtId="3" fontId="14" fillId="6" borderId="19" xfId="0" applyNumberFormat="1" applyFont="1" applyFill="1" applyBorder="1" applyAlignment="1">
      <alignment horizontal="center" vertical="center" wrapText="1"/>
    </xf>
    <xf numFmtId="10" fontId="14" fillId="6" borderId="19" xfId="0" applyNumberFormat="1" applyFont="1" applyFill="1" applyBorder="1" applyAlignment="1">
      <alignment horizontal="right" vertical="center" wrapText="1"/>
    </xf>
    <xf numFmtId="10" fontId="14" fillId="6" borderId="0" xfId="2" applyNumberFormat="1" applyFont="1" applyFill="1" applyBorder="1" applyAlignment="1">
      <alignment horizontal="right" vertical="center" wrapText="1"/>
    </xf>
    <xf numFmtId="3" fontId="0" fillId="6" borderId="0" xfId="0" applyNumberFormat="1" applyFill="1"/>
    <xf numFmtId="164" fontId="0" fillId="6" borderId="0" xfId="1" applyNumberFormat="1" applyFont="1" applyFill="1"/>
    <xf numFmtId="164" fontId="9" fillId="6" borderId="0" xfId="1" applyNumberFormat="1" applyFont="1" applyFill="1"/>
    <xf numFmtId="0" fontId="12" fillId="4" borderId="0" xfId="0" applyFont="1" applyFill="1" applyBorder="1" applyAlignment="1">
      <alignment horizontal="center"/>
    </xf>
    <xf numFmtId="0" fontId="0" fillId="6" borderId="0" xfId="1" applyNumberFormat="1" applyFont="1" applyFill="1"/>
    <xf numFmtId="3" fontId="0" fillId="4" borderId="0" xfId="0" applyNumberFormat="1" applyFill="1"/>
    <xf numFmtId="164" fontId="0" fillId="10" borderId="16" xfId="1" applyNumberFormat="1" applyFont="1" applyFill="1" applyBorder="1" applyAlignment="1" applyProtection="1">
      <alignment vertical="center"/>
    </xf>
    <xf numFmtId="164" fontId="0" fillId="10" borderId="18" xfId="1" applyNumberFormat="1" applyFont="1" applyFill="1" applyBorder="1" applyAlignment="1" applyProtection="1">
      <alignment vertical="center"/>
    </xf>
    <xf numFmtId="10" fontId="0" fillId="10" borderId="17" xfId="2" applyNumberFormat="1" applyFont="1" applyFill="1" applyBorder="1" applyAlignment="1" applyProtection="1">
      <alignment vertical="center"/>
    </xf>
    <xf numFmtId="44" fontId="0" fillId="6" borderId="0" xfId="0" applyNumberFormat="1" applyFill="1"/>
    <xf numFmtId="0" fontId="12" fillId="4" borderId="0" xfId="0" applyFont="1" applyFill="1" applyBorder="1" applyProtection="1"/>
    <xf numFmtId="164" fontId="0" fillId="10" borderId="8" xfId="1" applyNumberFormat="1" applyFont="1" applyFill="1" applyBorder="1" applyProtection="1"/>
    <xf numFmtId="164" fontId="0" fillId="10" borderId="23" xfId="1" applyNumberFormat="1" applyFont="1" applyFill="1" applyBorder="1" applyProtection="1"/>
    <xf numFmtId="10" fontId="0" fillId="10" borderId="10" xfId="2" applyNumberFormat="1" applyFont="1" applyFill="1" applyBorder="1" applyProtection="1"/>
    <xf numFmtId="44" fontId="0" fillId="6" borderId="0" xfId="1" applyNumberFormat="1" applyFont="1" applyFill="1"/>
    <xf numFmtId="0" fontId="0" fillId="6" borderId="0" xfId="0" applyFill="1" applyBorder="1" applyAlignment="1">
      <alignment vertical="center" wrapText="1"/>
    </xf>
    <xf numFmtId="10" fontId="8" fillId="6" borderId="0" xfId="0" applyNumberFormat="1" applyFont="1" applyFill="1"/>
    <xf numFmtId="10" fontId="8" fillId="4" borderId="0" xfId="0" applyNumberFormat="1" applyFont="1" applyFill="1"/>
    <xf numFmtId="164" fontId="0" fillId="10" borderId="17" xfId="0" applyNumberFormat="1" applyFill="1" applyBorder="1"/>
    <xf numFmtId="0" fontId="0" fillId="7" borderId="0" xfId="0" applyFill="1" applyBorder="1"/>
    <xf numFmtId="0" fontId="7" fillId="6" borderId="0"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8" fillId="6" borderId="0" xfId="0" applyFont="1" applyFill="1"/>
    <xf numFmtId="0" fontId="8" fillId="4" borderId="0" xfId="0" applyFont="1" applyFill="1"/>
    <xf numFmtId="0" fontId="0" fillId="5" borderId="0" xfId="0" applyFill="1"/>
    <xf numFmtId="164" fontId="0" fillId="0" borderId="0" xfId="1" applyNumberFormat="1" applyFont="1"/>
    <xf numFmtId="0" fontId="7" fillId="8" borderId="11" xfId="0" applyFont="1" applyFill="1" applyBorder="1" applyAlignment="1">
      <alignment horizontal="center" vertical="center" wrapText="1"/>
    </xf>
    <xf numFmtId="3" fontId="9" fillId="0" borderId="0" xfId="0" applyNumberFormat="1" applyFont="1" applyAlignment="1">
      <alignment horizontal="center"/>
    </xf>
    <xf numFmtId="0" fontId="0" fillId="0" borderId="0" xfId="0" applyAlignment="1">
      <alignment horizontal="center"/>
    </xf>
    <xf numFmtId="0" fontId="9" fillId="0" borderId="0" xfId="0" applyFont="1" applyAlignment="1">
      <alignment horizontal="center"/>
    </xf>
    <xf numFmtId="0" fontId="7" fillId="8" borderId="12"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14" xfId="0" applyFont="1" applyFill="1" applyBorder="1" applyAlignment="1">
      <alignment horizontal="center" vertical="center" wrapText="1"/>
    </xf>
    <xf numFmtId="10" fontId="0" fillId="0" borderId="0" xfId="0" applyNumberFormat="1"/>
    <xf numFmtId="10" fontId="9" fillId="0" borderId="0" xfId="0" applyNumberFormat="1" applyFont="1"/>
    <xf numFmtId="164" fontId="0" fillId="10" borderId="17" xfId="1" applyNumberFormat="1" applyFont="1" applyFill="1" applyBorder="1"/>
    <xf numFmtId="0" fontId="7" fillId="8" borderId="15" xfId="0" applyFont="1" applyFill="1" applyBorder="1" applyAlignment="1">
      <alignment horizontal="center" vertical="center" wrapText="1"/>
    </xf>
    <xf numFmtId="164" fontId="0" fillId="11" borderId="17" xfId="1" applyNumberFormat="1" applyFont="1" applyFill="1" applyBorder="1"/>
    <xf numFmtId="44" fontId="14" fillId="0" borderId="19" xfId="1" applyFont="1" applyBorder="1" applyAlignment="1">
      <alignment horizontal="center" vertical="center" wrapText="1"/>
    </xf>
    <xf numFmtId="10" fontId="14" fillId="0" borderId="19" xfId="0" applyNumberFormat="1" applyFont="1" applyBorder="1" applyAlignment="1">
      <alignment horizontal="right" vertical="center" wrapText="1"/>
    </xf>
    <xf numFmtId="9" fontId="14" fillId="0" borderId="0" xfId="2" applyFont="1" applyBorder="1" applyAlignment="1">
      <alignment horizontal="right" vertical="center" wrapText="1"/>
    </xf>
    <xf numFmtId="10" fontId="14" fillId="0" borderId="0" xfId="0" applyNumberFormat="1" applyFont="1" applyBorder="1" applyAlignment="1">
      <alignment horizontal="right" vertical="center" wrapText="1"/>
    </xf>
    <xf numFmtId="164" fontId="9" fillId="0" borderId="0" xfId="1" applyNumberFormat="1" applyFont="1"/>
    <xf numFmtId="164" fontId="9" fillId="0" borderId="0" xfId="1" applyNumberFormat="1" applyFont="1" applyAlignment="1">
      <alignment vertical="top"/>
    </xf>
    <xf numFmtId="44" fontId="9" fillId="4" borderId="0" xfId="1" applyNumberFormat="1" applyFont="1" applyFill="1" applyAlignment="1">
      <alignment vertical="top"/>
    </xf>
    <xf numFmtId="10" fontId="0" fillId="0" borderId="0" xfId="2" applyNumberFormat="1" applyFont="1"/>
    <xf numFmtId="44" fontId="14" fillId="12" borderId="19" xfId="0" applyNumberFormat="1" applyFont="1" applyFill="1" applyBorder="1" applyAlignment="1">
      <alignment horizontal="center" vertical="center" wrapText="1"/>
    </xf>
    <xf numFmtId="3" fontId="14" fillId="12" borderId="19" xfId="0" applyNumberFormat="1" applyFont="1" applyFill="1" applyBorder="1" applyAlignment="1">
      <alignment horizontal="center" vertical="center" wrapText="1"/>
    </xf>
    <xf numFmtId="10" fontId="14" fillId="12" borderId="19" xfId="0" applyNumberFormat="1" applyFont="1" applyFill="1" applyBorder="1" applyAlignment="1">
      <alignment horizontal="right" vertical="center" wrapText="1"/>
    </xf>
    <xf numFmtId="9" fontId="14" fillId="12" borderId="0" xfId="2" applyFont="1" applyFill="1" applyBorder="1" applyAlignment="1">
      <alignment horizontal="right" vertical="center" wrapText="1"/>
    </xf>
    <xf numFmtId="10" fontId="14" fillId="12" borderId="0" xfId="0" applyNumberFormat="1" applyFont="1" applyFill="1" applyBorder="1" applyAlignment="1">
      <alignment horizontal="right" vertical="center" wrapText="1"/>
    </xf>
    <xf numFmtId="3" fontId="14" fillId="0" borderId="19" xfId="0" applyNumberFormat="1" applyFont="1" applyBorder="1" applyAlignment="1">
      <alignment horizontal="center" vertical="center" wrapText="1"/>
    </xf>
    <xf numFmtId="0" fontId="0" fillId="6" borderId="0" xfId="0" applyFill="1" applyAlignment="1">
      <alignment vertical="center"/>
    </xf>
    <xf numFmtId="0" fontId="0" fillId="6" borderId="0" xfId="0" applyNumberFormat="1" applyFill="1" applyAlignment="1">
      <alignment vertical="center"/>
    </xf>
    <xf numFmtId="164" fontId="0" fillId="0" borderId="0" xfId="1" applyNumberFormat="1" applyFont="1" applyAlignment="1">
      <alignment vertical="center"/>
    </xf>
    <xf numFmtId="0" fontId="0" fillId="0" borderId="0" xfId="0" applyAlignment="1">
      <alignment vertical="center"/>
    </xf>
    <xf numFmtId="3" fontId="0" fillId="0" borderId="0" xfId="0" applyNumberFormat="1" applyAlignment="1">
      <alignment vertical="center"/>
    </xf>
    <xf numFmtId="164" fontId="9" fillId="0" borderId="0" xfId="1" applyNumberFormat="1" applyFont="1" applyAlignment="1">
      <alignment vertical="center"/>
    </xf>
    <xf numFmtId="164" fontId="0" fillId="0" borderId="0" xfId="0" applyNumberFormat="1"/>
    <xf numFmtId="44" fontId="14" fillId="6" borderId="31" xfId="0" applyNumberFormat="1" applyFont="1" applyFill="1" applyBorder="1" applyAlignment="1">
      <alignment horizontal="center" vertical="center" wrapText="1"/>
    </xf>
    <xf numFmtId="44" fontId="14" fillId="12" borderId="31" xfId="0" applyNumberFormat="1" applyFont="1" applyFill="1" applyBorder="1" applyAlignment="1">
      <alignment horizontal="center" vertical="center" wrapText="1"/>
    </xf>
    <xf numFmtId="3" fontId="14" fillId="12" borderId="31" xfId="0" applyNumberFormat="1" applyFont="1" applyFill="1" applyBorder="1" applyAlignment="1">
      <alignment horizontal="center" vertical="center" wrapText="1"/>
    </xf>
    <xf numFmtId="10" fontId="14" fillId="12" borderId="31" xfId="0" applyNumberFormat="1" applyFont="1" applyFill="1" applyBorder="1" applyAlignment="1">
      <alignment horizontal="right" vertical="center" wrapText="1"/>
    </xf>
    <xf numFmtId="0" fontId="0" fillId="0" borderId="0" xfId="1" applyNumberFormat="1" applyFont="1"/>
    <xf numFmtId="3" fontId="14" fillId="6" borderId="33" xfId="0" applyNumberFormat="1" applyFont="1" applyFill="1" applyBorder="1" applyAlignment="1">
      <alignment horizontal="center" vertical="center" wrapText="1"/>
    </xf>
    <xf numFmtId="10" fontId="14" fillId="6" borderId="33" xfId="0" applyNumberFormat="1" applyFont="1" applyFill="1" applyBorder="1" applyAlignment="1">
      <alignment horizontal="right" vertical="center" wrapText="1"/>
    </xf>
    <xf numFmtId="9" fontId="14" fillId="6" borderId="0" xfId="2" applyFont="1" applyFill="1" applyBorder="1" applyAlignment="1">
      <alignment horizontal="right" vertical="center" wrapText="1"/>
    </xf>
    <xf numFmtId="10" fontId="14" fillId="6" borderId="0" xfId="0" applyNumberFormat="1" applyFont="1" applyFill="1" applyBorder="1" applyAlignment="1">
      <alignment horizontal="right" vertical="center" wrapText="1"/>
    </xf>
    <xf numFmtId="44" fontId="0" fillId="0" borderId="0" xfId="0" applyNumberFormat="1"/>
    <xf numFmtId="44" fontId="14" fillId="6" borderId="33" xfId="0" applyNumberFormat="1" applyFont="1" applyFill="1" applyBorder="1" applyAlignment="1">
      <alignment horizontal="center" vertical="center" wrapText="1"/>
    </xf>
    <xf numFmtId="44" fontId="0" fillId="0" borderId="0" xfId="1" applyNumberFormat="1" applyFont="1"/>
    <xf numFmtId="0" fontId="0" fillId="0" borderId="0" xfId="0" applyBorder="1" applyAlignment="1">
      <alignment vertical="center" wrapText="1"/>
    </xf>
    <xf numFmtId="10" fontId="8" fillId="0" borderId="0" xfId="0" applyNumberFormat="1" applyFont="1"/>
    <xf numFmtId="0" fontId="0" fillId="4" borderId="0" xfId="0" applyFill="1" applyBorder="1" applyAlignment="1">
      <alignment horizontal="left"/>
    </xf>
    <xf numFmtId="164" fontId="0" fillId="4" borderId="0" xfId="1" applyNumberFormat="1" applyFont="1" applyFill="1" applyBorder="1"/>
    <xf numFmtId="44" fontId="9" fillId="0" borderId="0" xfId="1" applyNumberFormat="1" applyFont="1" applyAlignment="1">
      <alignment vertical="top"/>
    </xf>
    <xf numFmtId="44" fontId="14" fillId="13" borderId="33" xfId="0" applyNumberFormat="1" applyFont="1" applyFill="1" applyBorder="1" applyAlignment="1">
      <alignment horizontal="center" vertical="center" wrapText="1"/>
    </xf>
    <xf numFmtId="3" fontId="14" fillId="13" borderId="33" xfId="0" applyNumberFormat="1" applyFont="1" applyFill="1" applyBorder="1" applyAlignment="1">
      <alignment horizontal="center" vertical="center" wrapText="1"/>
    </xf>
    <xf numFmtId="10" fontId="14" fillId="13" borderId="33" xfId="0" applyNumberFormat="1" applyFont="1" applyFill="1" applyBorder="1" applyAlignment="1">
      <alignment horizontal="right" vertical="center" wrapText="1"/>
    </xf>
    <xf numFmtId="10" fontId="14" fillId="13" borderId="0" xfId="0" applyNumberFormat="1" applyFont="1" applyFill="1" applyBorder="1" applyAlignment="1">
      <alignment horizontal="right" vertical="center" wrapText="1"/>
    </xf>
    <xf numFmtId="0" fontId="6" fillId="0" borderId="0" xfId="0" applyNumberFormat="1" applyFont="1"/>
    <xf numFmtId="165" fontId="0" fillId="0" borderId="0" xfId="0" applyNumberFormat="1"/>
    <xf numFmtId="0" fontId="16" fillId="14" borderId="35" xfId="0" applyFont="1" applyFill="1" applyBorder="1" applyAlignment="1">
      <alignment horizontal="center" wrapText="1"/>
    </xf>
    <xf numFmtId="0" fontId="16" fillId="14" borderId="36" xfId="0" applyFont="1" applyFill="1" applyBorder="1" applyAlignment="1">
      <alignment horizontal="center" wrapText="1"/>
    </xf>
    <xf numFmtId="0" fontId="16" fillId="14" borderId="37" xfId="0" applyFont="1" applyFill="1" applyBorder="1" applyAlignment="1">
      <alignment horizontal="center" wrapText="1"/>
    </xf>
    <xf numFmtId="0" fontId="16" fillId="14" borderId="0" xfId="0" applyFont="1" applyFill="1" applyBorder="1" applyAlignment="1">
      <alignment horizontal="center" wrapText="1"/>
    </xf>
    <xf numFmtId="0" fontId="17" fillId="14" borderId="19" xfId="0" applyFont="1" applyFill="1" applyBorder="1" applyAlignment="1">
      <alignment horizontal="center" wrapText="1"/>
    </xf>
    <xf numFmtId="0" fontId="16" fillId="14" borderId="38" xfId="0" applyFont="1" applyFill="1" applyBorder="1" applyAlignment="1">
      <alignment horizontal="center" wrapText="1"/>
    </xf>
    <xf numFmtId="0" fontId="16" fillId="14" borderId="31" xfId="0" applyFont="1" applyFill="1" applyBorder="1" applyAlignment="1">
      <alignment horizontal="center" wrapText="1"/>
    </xf>
    <xf numFmtId="0" fontId="17" fillId="14" borderId="35" xfId="0" applyFont="1" applyFill="1" applyBorder="1" applyAlignment="1">
      <alignment horizontal="center" wrapText="1"/>
    </xf>
    <xf numFmtId="0" fontId="17" fillId="14" borderId="31" xfId="0" applyFont="1" applyFill="1" applyBorder="1" applyAlignment="1">
      <alignment horizontal="center" wrapText="1"/>
    </xf>
    <xf numFmtId="0" fontId="16" fillId="14" borderId="39" xfId="0" applyFont="1" applyFill="1" applyBorder="1" applyAlignment="1">
      <alignment horizontal="center" wrapText="1"/>
    </xf>
    <xf numFmtId="0" fontId="17" fillId="14" borderId="15" xfId="0" applyFont="1" applyFill="1" applyBorder="1" applyAlignment="1">
      <alignment horizontal="center" wrapText="1"/>
    </xf>
    <xf numFmtId="0" fontId="16" fillId="14" borderId="15" xfId="0" applyFont="1" applyFill="1" applyBorder="1" applyAlignment="1">
      <alignment horizontal="center" wrapText="1"/>
    </xf>
    <xf numFmtId="0" fontId="15" fillId="7" borderId="0" xfId="0" applyFont="1" applyFill="1"/>
    <xf numFmtId="0" fontId="18" fillId="7" borderId="11" xfId="0" applyFont="1" applyFill="1" applyBorder="1" applyAlignment="1">
      <alignment horizontal="center" wrapText="1"/>
    </xf>
    <xf numFmtId="0" fontId="17" fillId="0" borderId="19" xfId="0" applyFont="1" applyBorder="1" applyAlignment="1">
      <alignment horizontal="left" wrapText="1"/>
    </xf>
    <xf numFmtId="9" fontId="17" fillId="0" borderId="19" xfId="0" applyNumberFormat="1" applyFont="1" applyBorder="1" applyAlignment="1">
      <alignment horizontal="center"/>
    </xf>
    <xf numFmtId="166" fontId="17" fillId="0" borderId="19" xfId="0" applyNumberFormat="1" applyFont="1" applyBorder="1" applyAlignment="1">
      <alignment horizontal="center"/>
    </xf>
    <xf numFmtId="6" fontId="17" fillId="0" borderId="19" xfId="0" applyNumberFormat="1" applyFont="1" applyBorder="1" applyAlignment="1">
      <alignment horizontal="center"/>
    </xf>
    <xf numFmtId="10" fontId="17" fillId="0" borderId="19" xfId="0" applyNumberFormat="1" applyFont="1" applyBorder="1" applyAlignment="1">
      <alignment horizontal="center"/>
    </xf>
    <xf numFmtId="10" fontId="17" fillId="0" borderId="0" xfId="0" applyNumberFormat="1" applyFont="1" applyBorder="1" applyAlignment="1">
      <alignment horizontal="center"/>
    </xf>
    <xf numFmtId="167" fontId="0" fillId="0" borderId="0" xfId="0" applyNumberFormat="1"/>
    <xf numFmtId="166" fontId="17" fillId="0" borderId="19" xfId="2" applyNumberFormat="1" applyFont="1" applyBorder="1" applyAlignment="1">
      <alignment horizontal="center"/>
    </xf>
    <xf numFmtId="0" fontId="17" fillId="0" borderId="0" xfId="0" applyFont="1" applyFill="1" applyBorder="1" applyAlignment="1">
      <alignment horizontal="left" wrapText="1"/>
    </xf>
    <xf numFmtId="164" fontId="0" fillId="10" borderId="10" xfId="0" applyNumberFormat="1" applyFont="1" applyFill="1" applyBorder="1" applyAlignment="1">
      <alignment horizontal="left"/>
    </xf>
    <xf numFmtId="0" fontId="0" fillId="7" borderId="29" xfId="0" applyFont="1" applyFill="1" applyBorder="1" applyAlignment="1">
      <alignment horizontal="left"/>
    </xf>
    <xf numFmtId="0" fontId="0" fillId="7" borderId="30" xfId="0" applyFont="1" applyFill="1" applyBorder="1" applyAlignment="1">
      <alignment horizontal="left"/>
    </xf>
    <xf numFmtId="0" fontId="0" fillId="7" borderId="30" xfId="0" applyFill="1" applyBorder="1" applyAlignment="1">
      <alignment horizontal="left"/>
    </xf>
    <xf numFmtId="0" fontId="0" fillId="7" borderId="32" xfId="0" applyFill="1" applyBorder="1" applyAlignment="1">
      <alignment horizontal="left"/>
    </xf>
    <xf numFmtId="0" fontId="20" fillId="9" borderId="24" xfId="0" applyFont="1" applyFill="1" applyBorder="1" applyAlignment="1">
      <alignment horizontal="left" vertical="center"/>
    </xf>
    <xf numFmtId="0" fontId="11" fillId="9" borderId="26" xfId="0" applyFont="1" applyFill="1" applyBorder="1" applyAlignment="1">
      <alignment horizontal="center" vertical="center"/>
    </xf>
    <xf numFmtId="0" fontId="0" fillId="9" borderId="26" xfId="0" applyFill="1" applyBorder="1"/>
    <xf numFmtId="0" fontId="0" fillId="7" borderId="32" xfId="0" applyFont="1" applyFill="1" applyBorder="1" applyAlignment="1">
      <alignment horizontal="left"/>
    </xf>
    <xf numFmtId="0" fontId="0" fillId="4" borderId="0" xfId="0" applyFill="1" applyBorder="1" applyAlignment="1">
      <alignment horizontal="center" vertical="center" wrapText="1"/>
    </xf>
    <xf numFmtId="44" fontId="0" fillId="6" borderId="0" xfId="1" applyNumberFormat="1" applyFont="1" applyFill="1" applyAlignment="1">
      <alignment vertical="top"/>
    </xf>
    <xf numFmtId="0" fontId="0" fillId="7" borderId="16" xfId="0" applyFill="1" applyBorder="1"/>
    <xf numFmtId="0" fontId="0" fillId="7" borderId="8" xfId="0" applyFill="1" applyBorder="1"/>
    <xf numFmtId="0" fontId="0" fillId="7" borderId="9" xfId="0" applyFill="1" applyBorder="1"/>
    <xf numFmtId="164" fontId="0" fillId="10" borderId="0" xfId="1" applyNumberFormat="1" applyFont="1" applyFill="1" applyBorder="1"/>
    <xf numFmtId="164" fontId="0" fillId="11" borderId="0" xfId="1" applyNumberFormat="1" applyFont="1" applyFill="1" applyBorder="1"/>
    <xf numFmtId="0" fontId="13" fillId="4" borderId="0" xfId="0" applyFont="1" applyFill="1" applyBorder="1" applyAlignment="1">
      <alignment horizontal="center" vertical="center" wrapText="1"/>
    </xf>
    <xf numFmtId="0" fontId="0" fillId="4" borderId="0" xfId="4" applyFont="1" applyFill="1" applyBorder="1" applyAlignment="1">
      <alignment horizontal="left"/>
    </xf>
    <xf numFmtId="0" fontId="2" fillId="4" borderId="0" xfId="3" applyFill="1" applyBorder="1" applyAlignment="1">
      <alignment horizontal="left"/>
    </xf>
    <xf numFmtId="44" fontId="0" fillId="0" borderId="0" xfId="0" applyNumberFormat="1" applyAlignment="1">
      <alignment vertical="top"/>
    </xf>
    <xf numFmtId="0" fontId="0" fillId="7" borderId="24" xfId="0" applyFill="1" applyBorder="1"/>
    <xf numFmtId="0" fontId="0" fillId="7" borderId="25" xfId="0" applyFill="1" applyBorder="1"/>
    <xf numFmtId="0" fontId="12" fillId="9" borderId="16" xfId="0" applyFont="1" applyFill="1" applyBorder="1"/>
    <xf numFmtId="164" fontId="0" fillId="4" borderId="0" xfId="0" applyNumberFormat="1" applyFill="1" applyBorder="1" applyAlignment="1">
      <alignment horizontal="left" wrapText="1"/>
    </xf>
    <xf numFmtId="9" fontId="0" fillId="4" borderId="0" xfId="2" applyFont="1" applyFill="1" applyBorder="1" applyAlignment="1">
      <alignment horizontal="center" vertical="center"/>
    </xf>
    <xf numFmtId="164" fontId="0" fillId="7" borderId="0" xfId="1" applyNumberFormat="1" applyFont="1" applyFill="1" applyBorder="1"/>
    <xf numFmtId="164" fontId="0" fillId="7" borderId="0" xfId="1" applyNumberFormat="1" applyFont="1" applyFill="1" applyBorder="1" applyAlignment="1">
      <alignment horizontal="center"/>
    </xf>
    <xf numFmtId="44" fontId="1" fillId="10" borderId="30" xfId="4" applyNumberFormat="1" applyFont="1" applyFill="1" applyBorder="1" applyAlignment="1">
      <alignment horizontal="center"/>
    </xf>
    <xf numFmtId="44" fontId="0" fillId="10" borderId="30" xfId="0" applyNumberFormat="1" applyFill="1" applyBorder="1"/>
    <xf numFmtId="164" fontId="0" fillId="7" borderId="24" xfId="0" applyNumberFormat="1" applyFill="1" applyBorder="1"/>
    <xf numFmtId="10" fontId="0" fillId="7" borderId="26" xfId="2" applyNumberFormat="1" applyFont="1" applyFill="1" applyBorder="1" applyAlignment="1">
      <alignment horizontal="center"/>
    </xf>
    <xf numFmtId="164" fontId="0" fillId="11" borderId="17" xfId="1" applyNumberFormat="1" applyFont="1" applyFill="1" applyBorder="1" applyAlignment="1">
      <alignment horizontal="center"/>
    </xf>
    <xf numFmtId="164" fontId="0" fillId="7" borderId="16" xfId="0" applyNumberFormat="1" applyFill="1" applyBorder="1"/>
    <xf numFmtId="10" fontId="0" fillId="7" borderId="17" xfId="2" applyNumberFormat="1" applyFont="1" applyFill="1" applyBorder="1" applyAlignment="1">
      <alignment horizontal="center"/>
    </xf>
    <xf numFmtId="164" fontId="0" fillId="7" borderId="8" xfId="0" applyNumberFormat="1" applyFill="1" applyBorder="1"/>
    <xf numFmtId="164" fontId="0" fillId="7" borderId="9" xfId="1" applyNumberFormat="1" applyFont="1" applyFill="1" applyBorder="1"/>
    <xf numFmtId="164" fontId="0" fillId="7" borderId="24" xfId="0" applyNumberFormat="1" applyFill="1" applyBorder="1" applyAlignment="1">
      <alignment horizontal="left"/>
    </xf>
    <xf numFmtId="164" fontId="0" fillId="7" borderId="25" xfId="0" applyNumberFormat="1" applyFill="1" applyBorder="1" applyAlignment="1">
      <alignment horizontal="left" wrapText="1"/>
    </xf>
    <xf numFmtId="9" fontId="0" fillId="7" borderId="45" xfId="2" applyFont="1" applyFill="1" applyBorder="1" applyAlignment="1">
      <alignment horizontal="center" vertical="center"/>
    </xf>
    <xf numFmtId="0" fontId="0" fillId="7" borderId="8" xfId="0" applyFill="1" applyBorder="1" applyAlignment="1">
      <alignment horizontal="left"/>
    </xf>
    <xf numFmtId="0" fontId="0" fillId="7" borderId="9" xfId="0" applyFill="1" applyBorder="1" applyAlignment="1">
      <alignment horizontal="left"/>
    </xf>
    <xf numFmtId="164" fontId="0" fillId="11" borderId="17" xfId="0" applyNumberFormat="1" applyFill="1" applyBorder="1"/>
    <xf numFmtId="44" fontId="0" fillId="4" borderId="0" xfId="1" applyFont="1" applyFill="1" applyAlignment="1">
      <alignment vertical="top"/>
    </xf>
    <xf numFmtId="0" fontId="12" fillId="9" borderId="17" xfId="0" applyFont="1" applyFill="1" applyBorder="1"/>
    <xf numFmtId="0" fontId="0" fillId="9" borderId="17" xfId="0" applyFill="1" applyBorder="1"/>
    <xf numFmtId="0" fontId="0" fillId="9" borderId="16" xfId="0" applyFill="1" applyBorder="1"/>
    <xf numFmtId="0" fontId="0" fillId="9" borderId="0" xfId="0" applyFill="1" applyBorder="1"/>
    <xf numFmtId="10" fontId="0" fillId="10" borderId="17" xfId="0" applyNumberFormat="1" applyFill="1" applyBorder="1"/>
    <xf numFmtId="164" fontId="0" fillId="9" borderId="0" xfId="0" applyNumberFormat="1" applyFill="1" applyBorder="1" applyAlignment="1">
      <alignment horizontal="left" wrapText="1"/>
    </xf>
    <xf numFmtId="9" fontId="0" fillId="9" borderId="0" xfId="2" applyFont="1" applyFill="1" applyBorder="1" applyAlignment="1">
      <alignment horizontal="center" vertical="center"/>
    </xf>
    <xf numFmtId="164" fontId="0" fillId="10" borderId="30" xfId="0" applyNumberFormat="1" applyFill="1" applyBorder="1"/>
    <xf numFmtId="164" fontId="0" fillId="11" borderId="30" xfId="0" applyNumberFormat="1" applyFill="1" applyBorder="1"/>
    <xf numFmtId="44" fontId="0" fillId="10" borderId="30" xfId="1" applyNumberFormat="1" applyFont="1" applyFill="1" applyBorder="1" applyAlignment="1">
      <alignment horizontal="center"/>
    </xf>
    <xf numFmtId="164" fontId="0" fillId="10" borderId="30" xfId="1" applyNumberFormat="1" applyFont="1" applyFill="1" applyBorder="1" applyAlignment="1">
      <alignment horizontal="center"/>
    </xf>
    <xf numFmtId="164" fontId="0" fillId="11" borderId="30" xfId="1" applyNumberFormat="1" applyFont="1" applyFill="1" applyBorder="1" applyAlignment="1">
      <alignment horizontal="center"/>
    </xf>
    <xf numFmtId="164" fontId="2" fillId="2" borderId="49" xfId="3" applyNumberFormat="1" applyBorder="1"/>
    <xf numFmtId="164" fontId="0" fillId="10" borderId="17" xfId="1" applyNumberFormat="1" applyFont="1" applyFill="1" applyBorder="1" applyAlignment="1">
      <alignment horizontal="center"/>
    </xf>
    <xf numFmtId="164" fontId="0" fillId="10" borderId="17" xfId="2" applyNumberFormat="1" applyFont="1" applyFill="1" applyBorder="1" applyAlignment="1">
      <alignment horizontal="center"/>
    </xf>
    <xf numFmtId="10" fontId="0" fillId="11" borderId="17" xfId="0" applyNumberFormat="1" applyFill="1" applyBorder="1"/>
    <xf numFmtId="10" fontId="0" fillId="6" borderId="0" xfId="2" applyNumberFormat="1" applyFont="1" applyFill="1"/>
    <xf numFmtId="164" fontId="0" fillId="10" borderId="2" xfId="1" applyNumberFormat="1" applyFont="1" applyFill="1" applyBorder="1" applyAlignment="1">
      <alignment horizontal="center"/>
    </xf>
    <xf numFmtId="164" fontId="0" fillId="10" borderId="41" xfId="1" applyNumberFormat="1" applyFont="1" applyFill="1" applyBorder="1" applyAlignment="1">
      <alignment horizontal="center"/>
    </xf>
    <xf numFmtId="164" fontId="0" fillId="10" borderId="44" xfId="1" applyNumberFormat="1" applyFont="1" applyFill="1" applyBorder="1"/>
    <xf numFmtId="164" fontId="0" fillId="10" borderId="43" xfId="1" applyNumberFormat="1" applyFont="1" applyFill="1" applyBorder="1" applyAlignment="1">
      <alignment horizontal="center"/>
    </xf>
    <xf numFmtId="9" fontId="0" fillId="10" borderId="46" xfId="2" applyFont="1" applyFill="1" applyBorder="1" applyAlignment="1">
      <alignment horizontal="center" vertical="center"/>
    </xf>
    <xf numFmtId="164" fontId="1" fillId="3" borderId="20" xfId="4" applyNumberFormat="1" applyFont="1" applyBorder="1" applyAlignment="1" applyProtection="1">
      <alignment horizontal="center"/>
      <protection locked="0"/>
    </xf>
    <xf numFmtId="164" fontId="1" fillId="3" borderId="22" xfId="4" applyNumberFormat="1" applyFont="1" applyBorder="1" applyAlignment="1" applyProtection="1">
      <alignment horizontal="center"/>
      <protection locked="0"/>
    </xf>
    <xf numFmtId="164" fontId="1" fillId="3" borderId="22" xfId="4" applyNumberFormat="1" applyFont="1" applyBorder="1" applyProtection="1">
      <protection locked="0"/>
    </xf>
    <xf numFmtId="164" fontId="0" fillId="3" borderId="22" xfId="1" applyNumberFormat="1" applyFont="1" applyFill="1" applyBorder="1" applyProtection="1">
      <protection locked="0"/>
    </xf>
    <xf numFmtId="164" fontId="0" fillId="3" borderId="20" xfId="4" applyNumberFormat="1" applyFont="1" applyBorder="1" applyProtection="1">
      <protection locked="0"/>
    </xf>
    <xf numFmtId="164" fontId="0" fillId="3" borderId="2" xfId="1" applyNumberFormat="1" applyFont="1" applyFill="1" applyBorder="1" applyAlignment="1" applyProtection="1">
      <alignment horizontal="center"/>
      <protection locked="0"/>
    </xf>
    <xf numFmtId="164" fontId="0" fillId="3" borderId="41" xfId="1" applyNumberFormat="1" applyFont="1" applyFill="1" applyBorder="1" applyAlignment="1" applyProtection="1">
      <alignment horizontal="center"/>
      <protection locked="0"/>
    </xf>
    <xf numFmtId="164" fontId="0" fillId="3" borderId="44" xfId="1" applyNumberFormat="1" applyFont="1" applyFill="1" applyBorder="1" applyProtection="1">
      <protection locked="0"/>
    </xf>
    <xf numFmtId="164" fontId="0" fillId="3" borderId="43" xfId="1" applyNumberFormat="1" applyFont="1" applyFill="1" applyBorder="1" applyAlignment="1" applyProtection="1">
      <alignment horizontal="center"/>
      <protection locked="0"/>
    </xf>
    <xf numFmtId="9" fontId="0" fillId="3" borderId="46" xfId="2" applyFont="1" applyFill="1" applyBorder="1" applyAlignment="1" applyProtection="1">
      <alignment horizontal="center" vertical="center"/>
      <protection locked="0"/>
    </xf>
    <xf numFmtId="0" fontId="5" fillId="4" borderId="0" xfId="5" applyFill="1" applyBorder="1" applyAlignment="1" applyProtection="1">
      <alignment horizontal="center"/>
    </xf>
    <xf numFmtId="0" fontId="0" fillId="4" borderId="0" xfId="0" applyFill="1" applyBorder="1" applyAlignment="1" applyProtection="1">
      <alignment horizontal="center"/>
    </xf>
    <xf numFmtId="0" fontId="22" fillId="9" borderId="5" xfId="0" applyFont="1" applyFill="1" applyBorder="1" applyAlignment="1">
      <alignment horizontal="center" vertical="center" wrapText="1"/>
    </xf>
    <xf numFmtId="0" fontId="22" fillId="9" borderId="17" xfId="0" applyFont="1" applyFill="1" applyBorder="1" applyAlignment="1">
      <alignment horizontal="center" vertical="center" wrapText="1"/>
    </xf>
    <xf numFmtId="164" fontId="0" fillId="7" borderId="26" xfId="0" applyNumberFormat="1" applyFill="1" applyBorder="1"/>
    <xf numFmtId="164" fontId="1" fillId="10" borderId="30" xfId="4" applyNumberFormat="1" applyFont="1" applyFill="1" applyBorder="1" applyAlignment="1">
      <alignment horizontal="center"/>
    </xf>
    <xf numFmtId="164" fontId="1" fillId="16" borderId="47" xfId="6" applyNumberFormat="1" applyBorder="1"/>
    <xf numFmtId="164" fontId="1" fillId="16" borderId="50" xfId="6" applyNumberFormat="1" applyBorder="1"/>
    <xf numFmtId="164" fontId="14" fillId="6" borderId="19" xfId="0" applyNumberFormat="1" applyFont="1" applyFill="1" applyBorder="1" applyAlignment="1">
      <alignment horizontal="center" vertical="center" wrapText="1"/>
    </xf>
    <xf numFmtId="168" fontId="0" fillId="6" borderId="0" xfId="2" applyNumberFormat="1" applyFont="1" applyFill="1"/>
    <xf numFmtId="0" fontId="0" fillId="7" borderId="26" xfId="0" applyFill="1" applyBorder="1"/>
    <xf numFmtId="164" fontId="0" fillId="7" borderId="16" xfId="0" applyNumberFormat="1" applyFill="1" applyBorder="1" applyAlignment="1">
      <alignment horizontal="left"/>
    </xf>
    <xf numFmtId="164" fontId="0" fillId="7" borderId="0" xfId="0" applyNumberFormat="1" applyFill="1" applyBorder="1" applyAlignment="1">
      <alignment horizontal="left"/>
    </xf>
    <xf numFmtId="164" fontId="0" fillId="11" borderId="17" xfId="1" applyNumberFormat="1" applyFont="1" applyFill="1" applyBorder="1" applyAlignment="1">
      <alignment horizontal="center" vertical="center"/>
    </xf>
    <xf numFmtId="0" fontId="0" fillId="7" borderId="3" xfId="0" applyFill="1" applyBorder="1" applyAlignment="1">
      <alignment horizontal="left"/>
    </xf>
    <xf numFmtId="164" fontId="2" fillId="11" borderId="30" xfId="1" applyNumberFormat="1" applyFont="1" applyFill="1" applyBorder="1" applyAlignment="1">
      <alignment horizontal="center" vertical="center"/>
    </xf>
    <xf numFmtId="0" fontId="22" fillId="9" borderId="29" xfId="0" applyFont="1" applyFill="1" applyBorder="1" applyAlignment="1">
      <alignment horizontal="center" vertical="center" wrapText="1"/>
    </xf>
    <xf numFmtId="0" fontId="22" fillId="9" borderId="30" xfId="0" applyFont="1" applyFill="1" applyBorder="1" applyAlignment="1">
      <alignment horizontal="center" vertical="center" wrapText="1"/>
    </xf>
    <xf numFmtId="10" fontId="0" fillId="10" borderId="10" xfId="0" applyNumberFormat="1" applyFill="1" applyBorder="1"/>
    <xf numFmtId="0" fontId="12" fillId="9" borderId="29" xfId="0" applyFont="1" applyFill="1" applyBorder="1"/>
    <xf numFmtId="44" fontId="0" fillId="10" borderId="32" xfId="0" applyNumberFormat="1" applyFill="1" applyBorder="1"/>
    <xf numFmtId="0" fontId="0" fillId="7" borderId="27" xfId="0" applyFill="1" applyBorder="1"/>
    <xf numFmtId="0" fontId="0" fillId="7" borderId="28" xfId="0" applyFill="1" applyBorder="1"/>
    <xf numFmtId="10" fontId="0" fillId="3" borderId="34" xfId="2" applyNumberFormat="1" applyFont="1" applyFill="1" applyBorder="1" applyProtection="1">
      <protection locked="0"/>
    </xf>
    <xf numFmtId="44" fontId="0" fillId="10" borderId="51" xfId="0" applyNumberFormat="1" applyFill="1" applyBorder="1"/>
    <xf numFmtId="0" fontId="0" fillId="7" borderId="53" xfId="0" applyFill="1" applyBorder="1"/>
    <xf numFmtId="0" fontId="0" fillId="7" borderId="54" xfId="0" applyFill="1" applyBorder="1"/>
    <xf numFmtId="10" fontId="0" fillId="3" borderId="55" xfId="2" applyNumberFormat="1" applyFont="1" applyFill="1" applyBorder="1" applyProtection="1">
      <protection locked="0"/>
    </xf>
    <xf numFmtId="164" fontId="0" fillId="10" borderId="52" xfId="0" applyNumberFormat="1" applyFill="1" applyBorder="1"/>
    <xf numFmtId="0" fontId="0" fillId="9" borderId="8" xfId="0" applyFill="1" applyBorder="1"/>
    <xf numFmtId="0" fontId="0" fillId="9" borderId="9" xfId="0" applyFill="1" applyBorder="1"/>
    <xf numFmtId="0" fontId="0" fillId="7" borderId="16" xfId="0" applyFill="1" applyBorder="1" applyAlignment="1">
      <alignment horizontal="left" vertical="center"/>
    </xf>
    <xf numFmtId="0" fontId="0" fillId="7" borderId="17" xfId="0" applyFill="1" applyBorder="1"/>
    <xf numFmtId="0" fontId="20" fillId="4" borderId="0" xfId="0" applyFont="1" applyFill="1" applyBorder="1" applyAlignment="1">
      <alignment horizontal="center" vertical="center"/>
    </xf>
    <xf numFmtId="0" fontId="28" fillId="4" borderId="0" xfId="0" applyFont="1" applyFill="1" applyBorder="1" applyAlignment="1">
      <alignment horizontal="center" vertical="center" wrapText="1"/>
    </xf>
    <xf numFmtId="164" fontId="0" fillId="4" borderId="0" xfId="1" applyNumberFormat="1" applyFont="1" applyFill="1" applyBorder="1" applyProtection="1"/>
    <xf numFmtId="0" fontId="24"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0" fillId="4" borderId="0" xfId="0" applyFont="1" applyFill="1" applyBorder="1" applyAlignment="1" applyProtection="1">
      <alignment horizontal="left" vertical="center" wrapText="1"/>
    </xf>
    <xf numFmtId="0" fontId="0" fillId="4" borderId="0" xfId="0" applyFill="1" applyBorder="1" applyAlignment="1">
      <alignment horizontal="center"/>
    </xf>
    <xf numFmtId="0" fontId="26" fillId="4" borderId="0" xfId="0" applyFont="1" applyFill="1" applyBorder="1"/>
    <xf numFmtId="164" fontId="0" fillId="4" borderId="0" xfId="4" applyNumberFormat="1" applyFont="1" applyFill="1" applyBorder="1" applyProtection="1"/>
    <xf numFmtId="164" fontId="0" fillId="4" borderId="0" xfId="1" applyNumberFormat="1" applyFont="1" applyFill="1" applyBorder="1" applyAlignment="1" applyProtection="1">
      <alignment horizontal="center"/>
    </xf>
    <xf numFmtId="0" fontId="21" fillId="4" borderId="0" xfId="0" applyFont="1" applyFill="1" applyBorder="1" applyAlignment="1" applyProtection="1">
      <alignment horizontal="center" vertical="center" wrapText="1"/>
    </xf>
    <xf numFmtId="0" fontId="29" fillId="4" borderId="0" xfId="0" applyFont="1" applyFill="1" applyBorder="1" applyAlignment="1" applyProtection="1">
      <alignment horizontal="center" vertical="center" wrapText="1"/>
    </xf>
    <xf numFmtId="0" fontId="25" fillId="4" borderId="0" xfId="4" applyFont="1" applyFill="1" applyBorder="1" applyAlignment="1">
      <alignment horizontal="center" vertical="center"/>
    </xf>
    <xf numFmtId="0" fontId="20" fillId="6" borderId="0" xfId="0" applyFont="1" applyFill="1" applyBorder="1" applyAlignment="1">
      <alignment horizontal="center" vertical="center"/>
    </xf>
    <xf numFmtId="0" fontId="3" fillId="0" borderId="0" xfId="0" applyFont="1" applyAlignment="1"/>
    <xf numFmtId="0" fontId="3" fillId="0" borderId="0" xfId="0" applyFont="1"/>
    <xf numFmtId="0" fontId="12" fillId="9" borderId="3"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0" fillId="7" borderId="17" xfId="0" applyFill="1" applyBorder="1" applyAlignment="1">
      <alignment horizontal="center" vertical="center" wrapText="1"/>
    </xf>
    <xf numFmtId="164" fontId="2" fillId="10" borderId="30" xfId="1" applyNumberFormat="1" applyFont="1" applyFill="1" applyBorder="1" applyAlignment="1">
      <alignment horizontal="center" vertical="center"/>
    </xf>
    <xf numFmtId="164" fontId="0" fillId="10" borderId="17" xfId="1" applyNumberFormat="1" applyFont="1" applyFill="1" applyBorder="1" applyAlignment="1">
      <alignment horizontal="center" vertical="center"/>
    </xf>
    <xf numFmtId="164" fontId="1" fillId="10" borderId="30" xfId="1" applyNumberFormat="1" applyFont="1" applyFill="1" applyBorder="1" applyAlignment="1">
      <alignment horizontal="center"/>
    </xf>
    <xf numFmtId="164" fontId="1" fillId="10" borderId="17" xfId="1" applyNumberFormat="1" applyFont="1" applyFill="1" applyBorder="1"/>
    <xf numFmtId="0" fontId="0" fillId="11" borderId="8" xfId="0" applyFill="1" applyBorder="1" applyAlignment="1">
      <alignment horizontal="left"/>
    </xf>
    <xf numFmtId="0" fontId="0" fillId="11" borderId="10" xfId="0" applyFill="1" applyBorder="1" applyAlignment="1">
      <alignment horizontal="left"/>
    </xf>
    <xf numFmtId="164" fontId="0" fillId="11" borderId="32" xfId="0" applyNumberFormat="1" applyFill="1" applyBorder="1"/>
    <xf numFmtId="164" fontId="0" fillId="11" borderId="10" xfId="0" applyNumberFormat="1" applyFill="1" applyBorder="1"/>
    <xf numFmtId="0" fontId="0" fillId="4" borderId="0" xfId="4" applyFont="1" applyFill="1" applyBorder="1"/>
    <xf numFmtId="164" fontId="0" fillId="7" borderId="40" xfId="1" applyNumberFormat="1" applyFont="1" applyFill="1" applyBorder="1"/>
    <xf numFmtId="0" fontId="0" fillId="7" borderId="40" xfId="0" applyFill="1" applyBorder="1"/>
    <xf numFmtId="0" fontId="12" fillId="4" borderId="0" xfId="0" applyFont="1" applyFill="1" applyProtection="1"/>
    <xf numFmtId="164" fontId="0" fillId="7" borderId="25" xfId="0" applyNumberFormat="1" applyFill="1" applyBorder="1"/>
    <xf numFmtId="0" fontId="0" fillId="7" borderId="5" xfId="0" applyFill="1" applyBorder="1" applyAlignment="1">
      <alignment horizontal="left"/>
    </xf>
    <xf numFmtId="44" fontId="0" fillId="10" borderId="17" xfId="0" applyNumberFormat="1" applyFill="1" applyBorder="1"/>
    <xf numFmtId="44" fontId="0" fillId="10" borderId="29" xfId="2" applyNumberFormat="1" applyFont="1" applyFill="1" applyBorder="1"/>
    <xf numFmtId="0" fontId="0" fillId="7" borderId="53" xfId="4" applyFont="1" applyFill="1" applyBorder="1" applyAlignment="1">
      <alignment horizontal="left"/>
    </xf>
    <xf numFmtId="0" fontId="0" fillId="7" borderId="55" xfId="0" applyFill="1" applyBorder="1" applyAlignment="1">
      <alignment horizontal="left"/>
    </xf>
    <xf numFmtId="10" fontId="1" fillId="11" borderId="52" xfId="2" applyNumberFormat="1" applyFont="1" applyFill="1" applyBorder="1" applyAlignment="1">
      <alignment horizontal="center" vertical="center"/>
    </xf>
    <xf numFmtId="10" fontId="0" fillId="11" borderId="55" xfId="2" applyNumberFormat="1" applyFont="1" applyFill="1" applyBorder="1" applyAlignment="1">
      <alignment horizontal="center" vertical="center"/>
    </xf>
    <xf numFmtId="0" fontId="0" fillId="7" borderId="62" xfId="0" applyFill="1" applyBorder="1"/>
    <xf numFmtId="0" fontId="0" fillId="7" borderId="63" xfId="0" applyFill="1" applyBorder="1"/>
    <xf numFmtId="164" fontId="1" fillId="7" borderId="58" xfId="1" applyNumberFormat="1" applyFont="1" applyFill="1" applyBorder="1" applyAlignment="1">
      <alignment horizontal="center"/>
    </xf>
    <xf numFmtId="164" fontId="1" fillId="7" borderId="58" xfId="1" applyNumberFormat="1" applyFont="1" applyFill="1" applyBorder="1"/>
    <xf numFmtId="44" fontId="1" fillId="10" borderId="52" xfId="2" applyNumberFormat="1" applyFont="1" applyFill="1" applyBorder="1"/>
    <xf numFmtId="44" fontId="0" fillId="10" borderId="52" xfId="0" applyNumberFormat="1" applyFill="1" applyBorder="1"/>
    <xf numFmtId="164" fontId="2" fillId="11" borderId="61" xfId="1" applyNumberFormat="1" applyFont="1" applyFill="1" applyBorder="1" applyAlignment="1">
      <alignment horizontal="center" vertical="center"/>
    </xf>
    <xf numFmtId="164" fontId="0" fillId="11" borderId="61" xfId="1" applyNumberFormat="1" applyFont="1" applyFill="1" applyBorder="1" applyAlignment="1">
      <alignment horizontal="center" vertical="center"/>
    </xf>
    <xf numFmtId="10" fontId="0" fillId="10" borderId="9" xfId="0" applyNumberFormat="1" applyFill="1" applyBorder="1"/>
    <xf numFmtId="164" fontId="0" fillId="10" borderId="8" xfId="1" applyNumberFormat="1" applyFont="1" applyFill="1" applyBorder="1"/>
    <xf numFmtId="0" fontId="0" fillId="9" borderId="10" xfId="0" applyFill="1" applyBorder="1"/>
    <xf numFmtId="0" fontId="12" fillId="9" borderId="24" xfId="0" applyFont="1" applyFill="1" applyBorder="1"/>
    <xf numFmtId="0" fontId="12" fillId="9" borderId="25" xfId="0" applyFont="1" applyFill="1" applyBorder="1"/>
    <xf numFmtId="10" fontId="0" fillId="10" borderId="26" xfId="0" applyNumberFormat="1" applyFill="1" applyBorder="1"/>
    <xf numFmtId="0" fontId="12" fillId="9" borderId="26" xfId="0" applyFont="1" applyFill="1" applyBorder="1"/>
    <xf numFmtId="164" fontId="0" fillId="6" borderId="0" xfId="0" applyNumberFormat="1" applyFill="1" applyBorder="1"/>
    <xf numFmtId="164" fontId="0" fillId="6" borderId="0" xfId="1" applyNumberFormat="1" applyFont="1" applyFill="1" applyBorder="1" applyAlignment="1">
      <alignment horizontal="center"/>
    </xf>
    <xf numFmtId="164" fontId="0" fillId="6" borderId="0" xfId="2" applyNumberFormat="1" applyFont="1" applyFill="1" applyBorder="1" applyAlignment="1">
      <alignment horizontal="center"/>
    </xf>
    <xf numFmtId="164" fontId="2" fillId="6" borderId="0" xfId="3" applyNumberFormat="1" applyFill="1" applyBorder="1"/>
    <xf numFmtId="164" fontId="0" fillId="10" borderId="64" xfId="1" applyNumberFormat="1" applyFont="1" applyFill="1" applyBorder="1" applyAlignment="1">
      <alignment horizontal="right"/>
    </xf>
    <xf numFmtId="164" fontId="0" fillId="10" borderId="64" xfId="1" applyNumberFormat="1" applyFont="1" applyFill="1" applyBorder="1"/>
    <xf numFmtId="0" fontId="12" fillId="4" borderId="0" xfId="0" applyFont="1" applyFill="1" applyBorder="1" applyAlignment="1" applyProtection="1">
      <alignment horizontal="center"/>
    </xf>
    <xf numFmtId="10" fontId="0" fillId="4" borderId="0" xfId="2" applyNumberFormat="1" applyFont="1" applyFill="1" applyBorder="1" applyProtection="1"/>
    <xf numFmtId="164" fontId="0" fillId="3" borderId="65" xfId="1" applyNumberFormat="1" applyFont="1" applyFill="1" applyBorder="1" applyProtection="1">
      <protection locked="0"/>
    </xf>
    <xf numFmtId="10" fontId="0" fillId="3" borderId="66" xfId="2" applyNumberFormat="1" applyFont="1" applyFill="1" applyBorder="1" applyProtection="1">
      <protection locked="0"/>
    </xf>
    <xf numFmtId="164" fontId="0" fillId="10" borderId="67" xfId="0" applyNumberFormat="1" applyFill="1" applyBorder="1"/>
    <xf numFmtId="164" fontId="0" fillId="10" borderId="55" xfId="0" applyNumberFormat="1" applyFill="1" applyBorder="1"/>
    <xf numFmtId="0" fontId="30" fillId="17" borderId="4" xfId="5" applyFont="1" applyFill="1" applyBorder="1" applyAlignment="1"/>
    <xf numFmtId="10" fontId="1" fillId="17" borderId="0" xfId="2" applyNumberFormat="1" applyFont="1" applyFill="1" applyBorder="1"/>
    <xf numFmtId="0" fontId="1" fillId="17" borderId="0" xfId="0" applyFont="1" applyFill="1"/>
    <xf numFmtId="164" fontId="0" fillId="10" borderId="70" xfId="0" applyNumberFormat="1" applyFill="1" applyBorder="1"/>
    <xf numFmtId="164" fontId="0" fillId="10" borderId="71" xfId="0" applyNumberFormat="1" applyFill="1" applyBorder="1"/>
    <xf numFmtId="164" fontId="0" fillId="10" borderId="69" xfId="0" applyNumberFormat="1" applyFill="1" applyBorder="1"/>
    <xf numFmtId="164" fontId="0" fillId="10" borderId="74" xfId="0" applyNumberFormat="1" applyFill="1" applyBorder="1"/>
    <xf numFmtId="164" fontId="0" fillId="10" borderId="33" xfId="0" applyNumberFormat="1" applyFill="1" applyBorder="1"/>
    <xf numFmtId="164" fontId="0" fillId="10" borderId="73" xfId="0" applyNumberFormat="1" applyFill="1" applyBorder="1"/>
    <xf numFmtId="0" fontId="2" fillId="4" borderId="0" xfId="3" applyFill="1" applyBorder="1" applyAlignment="1" applyProtection="1">
      <alignment horizontal="left"/>
    </xf>
    <xf numFmtId="0" fontId="0" fillId="7" borderId="16" xfId="0" applyFill="1" applyBorder="1" applyProtection="1"/>
    <xf numFmtId="0" fontId="0" fillId="7" borderId="0" xfId="0" applyFill="1" applyBorder="1" applyProtection="1"/>
    <xf numFmtId="164" fontId="0" fillId="10" borderId="17" xfId="0" applyNumberFormat="1" applyFill="1" applyBorder="1" applyProtection="1"/>
    <xf numFmtId="164" fontId="0" fillId="10" borderId="30" xfId="0" applyNumberFormat="1" applyFill="1" applyBorder="1" applyProtection="1"/>
    <xf numFmtId="164" fontId="0" fillId="10" borderId="30" xfId="1" applyNumberFormat="1" applyFont="1" applyFill="1" applyBorder="1" applyProtection="1"/>
    <xf numFmtId="0" fontId="0" fillId="4" borderId="0" xfId="4" applyFont="1" applyFill="1" applyBorder="1" applyAlignment="1" applyProtection="1">
      <alignment horizontal="left"/>
    </xf>
    <xf numFmtId="0" fontId="0" fillId="7" borderId="3" xfId="4" applyFont="1" applyFill="1" applyBorder="1" applyAlignment="1" applyProtection="1">
      <alignment horizontal="left"/>
    </xf>
    <xf numFmtId="0" fontId="0" fillId="7" borderId="4" xfId="4" applyFont="1" applyFill="1" applyBorder="1" applyAlignment="1" applyProtection="1">
      <alignment horizontal="left"/>
    </xf>
    <xf numFmtId="10" fontId="0" fillId="10" borderId="29" xfId="2" applyNumberFormat="1" applyFont="1" applyFill="1" applyBorder="1" applyProtection="1"/>
    <xf numFmtId="10" fontId="0" fillId="10" borderId="5" xfId="2" applyNumberFormat="1" applyFont="1" applyFill="1" applyBorder="1" applyProtection="1"/>
    <xf numFmtId="164" fontId="0" fillId="11" borderId="17" xfId="0" applyNumberFormat="1" applyFill="1" applyBorder="1" applyProtection="1"/>
    <xf numFmtId="164" fontId="0" fillId="11" borderId="30" xfId="0" applyNumberFormat="1" applyFill="1" applyBorder="1" applyProtection="1"/>
    <xf numFmtId="164" fontId="0" fillId="11" borderId="30" xfId="1" applyNumberFormat="1" applyFont="1" applyFill="1" applyBorder="1" applyProtection="1"/>
    <xf numFmtId="0" fontId="1" fillId="4" borderId="0" xfId="0" applyFont="1" applyFill="1" applyBorder="1" applyAlignment="1" applyProtection="1">
      <alignment horizontal="left"/>
    </xf>
    <xf numFmtId="10" fontId="0" fillId="10" borderId="30" xfId="2" applyNumberFormat="1" applyFont="1" applyFill="1" applyBorder="1" applyProtection="1"/>
    <xf numFmtId="164" fontId="0" fillId="7" borderId="16" xfId="0" applyNumberFormat="1" applyFill="1" applyBorder="1" applyAlignment="1" applyProtection="1">
      <alignment horizontal="left"/>
    </xf>
    <xf numFmtId="164" fontId="0" fillId="7" borderId="17" xfId="0" applyNumberFormat="1" applyFill="1" applyBorder="1" applyAlignment="1" applyProtection="1">
      <alignment horizontal="left"/>
    </xf>
    <xf numFmtId="44" fontId="0" fillId="10" borderId="30" xfId="1" applyNumberFormat="1" applyFont="1" applyFill="1" applyBorder="1" applyAlignment="1" applyProtection="1">
      <alignment horizontal="center"/>
    </xf>
    <xf numFmtId="0" fontId="2" fillId="4" borderId="0" xfId="3" applyFill="1" applyBorder="1" applyProtection="1"/>
    <xf numFmtId="0" fontId="0" fillId="11" borderId="8" xfId="0" applyFill="1" applyBorder="1" applyProtection="1"/>
    <xf numFmtId="0" fontId="0" fillId="11" borderId="9" xfId="0" applyFill="1" applyBorder="1" applyProtection="1"/>
    <xf numFmtId="10" fontId="0" fillId="11" borderId="32" xfId="0" applyNumberFormat="1" applyFill="1" applyBorder="1" applyProtection="1"/>
    <xf numFmtId="10" fontId="0" fillId="11" borderId="10" xfId="0" applyNumberFormat="1" applyFill="1" applyBorder="1" applyProtection="1"/>
    <xf numFmtId="164" fontId="0" fillId="10" borderId="17" xfId="2" applyNumberFormat="1" applyFont="1" applyFill="1" applyBorder="1" applyAlignment="1" applyProtection="1">
      <alignment horizontal="center"/>
    </xf>
    <xf numFmtId="164" fontId="0" fillId="10" borderId="30" xfId="1" applyNumberFormat="1" applyFont="1" applyFill="1" applyBorder="1" applyAlignment="1" applyProtection="1">
      <alignment horizontal="center"/>
    </xf>
    <xf numFmtId="164" fontId="0" fillId="11" borderId="17" xfId="1" applyNumberFormat="1" applyFont="1" applyFill="1" applyBorder="1" applyAlignment="1" applyProtection="1">
      <alignment horizontal="center"/>
    </xf>
    <xf numFmtId="164" fontId="0" fillId="11" borderId="30" xfId="1" applyNumberFormat="1" applyFont="1" applyFill="1" applyBorder="1" applyAlignment="1" applyProtection="1">
      <alignment horizontal="center"/>
    </xf>
    <xf numFmtId="0" fontId="12" fillId="4" borderId="0" xfId="0" applyFont="1" applyFill="1" applyBorder="1" applyAlignment="1" applyProtection="1">
      <alignment horizontal="center" wrapText="1"/>
    </xf>
    <xf numFmtId="164" fontId="2" fillId="4" borderId="0" xfId="1" applyNumberFormat="1" applyFont="1" applyFill="1" applyBorder="1" applyProtection="1"/>
    <xf numFmtId="164" fontId="2" fillId="2" borderId="49" xfId="3" applyNumberFormat="1" applyBorder="1" applyProtection="1"/>
    <xf numFmtId="0" fontId="12" fillId="4" borderId="0" xfId="0" applyFont="1" applyFill="1" applyBorder="1" applyAlignment="1" applyProtection="1">
      <alignment horizontal="left"/>
    </xf>
    <xf numFmtId="164" fontId="12" fillId="4" borderId="0" xfId="3" applyNumberFormat="1" applyFont="1" applyFill="1" applyBorder="1" applyProtection="1"/>
    <xf numFmtId="164" fontId="2" fillId="4" borderId="0" xfId="3" applyNumberFormat="1" applyFill="1" applyBorder="1" applyProtection="1"/>
    <xf numFmtId="0" fontId="0" fillId="4" borderId="0" xfId="0" applyFill="1" applyBorder="1" applyAlignment="1" applyProtection="1">
      <alignment horizontal="left"/>
    </xf>
    <xf numFmtId="10" fontId="0" fillId="3" borderId="65" xfId="2" applyNumberFormat="1" applyFont="1" applyFill="1" applyBorder="1" applyProtection="1">
      <protection locked="0"/>
    </xf>
    <xf numFmtId="10" fontId="0" fillId="4" borderId="0" xfId="0" applyNumberFormat="1" applyFill="1" applyBorder="1"/>
    <xf numFmtId="0" fontId="0" fillId="4" borderId="0" xfId="0" applyFill="1" applyAlignment="1">
      <alignment horizontal="center"/>
    </xf>
    <xf numFmtId="0" fontId="0" fillId="4" borderId="0" xfId="0" applyFill="1" applyAlignment="1" applyProtection="1">
      <alignment horizontal="center"/>
    </xf>
    <xf numFmtId="164" fontId="0" fillId="7" borderId="17" xfId="1" applyNumberFormat="1" applyFont="1" applyFill="1" applyBorder="1" applyAlignment="1">
      <alignment horizontal="center" vertical="center"/>
    </xf>
    <xf numFmtId="10" fontId="0" fillId="10" borderId="17" xfId="1" applyNumberFormat="1" applyFont="1" applyFill="1" applyBorder="1"/>
    <xf numFmtId="10" fontId="0" fillId="11" borderId="17" xfId="1" applyNumberFormat="1" applyFont="1" applyFill="1" applyBorder="1"/>
    <xf numFmtId="10" fontId="0" fillId="11" borderId="10" xfId="1" applyNumberFormat="1" applyFont="1" applyFill="1" applyBorder="1"/>
    <xf numFmtId="0" fontId="0" fillId="7" borderId="29" xfId="0" applyFill="1" applyBorder="1"/>
    <xf numFmtId="0" fontId="0" fillId="10" borderId="30" xfId="0" applyFill="1" applyBorder="1"/>
    <xf numFmtId="0" fontId="0" fillId="11" borderId="30" xfId="0" applyFont="1" applyFill="1" applyBorder="1" applyAlignment="1" applyProtection="1">
      <alignment horizontal="left" vertical="center" wrapText="1"/>
    </xf>
    <xf numFmtId="0" fontId="0" fillId="10" borderId="30" xfId="0" applyFont="1" applyFill="1" applyBorder="1" applyAlignment="1" applyProtection="1">
      <alignment horizontal="left" vertical="center" wrapText="1"/>
    </xf>
    <xf numFmtId="0" fontId="0" fillId="11" borderId="32" xfId="0" applyFont="1" applyFill="1" applyBorder="1" applyAlignment="1" applyProtection="1">
      <alignment horizontal="left" vertical="center" wrapText="1"/>
    </xf>
    <xf numFmtId="0" fontId="0" fillId="7" borderId="68" xfId="0" applyFont="1" applyFill="1" applyBorder="1" applyAlignment="1" applyProtection="1">
      <alignment horizontal="center" vertical="center" wrapText="1"/>
    </xf>
    <xf numFmtId="164" fontId="0" fillId="10" borderId="75" xfId="1" applyNumberFormat="1" applyFont="1" applyFill="1" applyBorder="1" applyAlignment="1" applyProtection="1">
      <alignment horizontal="left" vertical="center" wrapText="1"/>
    </xf>
    <xf numFmtId="164" fontId="0" fillId="11" borderId="75" xfId="1" applyNumberFormat="1" applyFont="1" applyFill="1" applyBorder="1" applyAlignment="1" applyProtection="1">
      <alignment horizontal="left" vertical="center" wrapText="1"/>
    </xf>
    <xf numFmtId="164" fontId="0" fillId="11" borderId="69" xfId="1" applyNumberFormat="1" applyFont="1" applyFill="1" applyBorder="1" applyAlignment="1" applyProtection="1">
      <alignment horizontal="left" vertical="center" wrapText="1"/>
    </xf>
    <xf numFmtId="0" fontId="0" fillId="7" borderId="72" xfId="0" applyFill="1" applyBorder="1" applyAlignment="1" applyProtection="1">
      <alignment horizontal="center" vertical="center" wrapText="1"/>
    </xf>
    <xf numFmtId="164" fontId="0" fillId="10" borderId="21" xfId="1" applyNumberFormat="1" applyFont="1" applyFill="1" applyBorder="1" applyAlignment="1" applyProtection="1">
      <alignment horizontal="center" vertical="center"/>
    </xf>
    <xf numFmtId="164" fontId="0" fillId="11" borderId="21" xfId="1" applyNumberFormat="1" applyFont="1" applyFill="1" applyBorder="1" applyAlignment="1" applyProtection="1">
      <alignment horizontal="center" vertical="center"/>
    </xf>
    <xf numFmtId="164" fontId="0" fillId="11" borderId="73" xfId="1" applyNumberFormat="1" applyFont="1" applyFill="1" applyBorder="1" applyAlignment="1" applyProtection="1">
      <alignment horizontal="center" vertical="center"/>
    </xf>
    <xf numFmtId="10" fontId="0" fillId="7" borderId="72" xfId="2" applyNumberFormat="1" applyFont="1" applyFill="1" applyBorder="1" applyAlignment="1" applyProtection="1">
      <alignment horizontal="center" vertical="center" wrapText="1"/>
    </xf>
    <xf numFmtId="164" fontId="2" fillId="10" borderId="21" xfId="3" applyNumberFormat="1" applyFill="1" applyBorder="1" applyAlignment="1">
      <alignment horizontal="center" vertical="center"/>
    </xf>
    <xf numFmtId="164" fontId="2" fillId="11" borderId="21" xfId="3" applyNumberFormat="1" applyFill="1" applyBorder="1" applyAlignment="1">
      <alignment horizontal="center" vertical="center"/>
    </xf>
    <xf numFmtId="164" fontId="2" fillId="11" borderId="73" xfId="3" applyNumberFormat="1" applyFill="1" applyBorder="1" applyAlignment="1">
      <alignment horizontal="center" vertical="center"/>
    </xf>
    <xf numFmtId="0" fontId="0" fillId="7" borderId="72" xfId="0" applyFill="1" applyBorder="1" applyAlignment="1">
      <alignment horizontal="center" vertical="center"/>
    </xf>
    <xf numFmtId="44" fontId="0" fillId="10" borderId="21" xfId="0" applyNumberFormat="1" applyFill="1" applyBorder="1"/>
    <xf numFmtId="44" fontId="0" fillId="11" borderId="21" xfId="0" applyNumberFormat="1" applyFill="1" applyBorder="1"/>
    <xf numFmtId="44" fontId="0" fillId="11" borderId="73" xfId="0" applyNumberFormat="1" applyFill="1" applyBorder="1"/>
    <xf numFmtId="0" fontId="0" fillId="7" borderId="72" xfId="0" applyFill="1" applyBorder="1" applyAlignment="1">
      <alignment horizontal="center" vertical="center" wrapText="1"/>
    </xf>
    <xf numFmtId="10" fontId="0" fillId="10" borderId="21" xfId="0" applyNumberFormat="1" applyFill="1" applyBorder="1"/>
    <xf numFmtId="10" fontId="0" fillId="11" borderId="21" xfId="0" applyNumberFormat="1" applyFill="1" applyBorder="1"/>
    <xf numFmtId="10" fontId="0" fillId="11" borderId="73" xfId="0" applyNumberFormat="1" applyFill="1" applyBorder="1"/>
    <xf numFmtId="0" fontId="26" fillId="9" borderId="3" xfId="0" applyFont="1" applyFill="1" applyBorder="1" applyAlignment="1" applyProtection="1">
      <alignment horizontal="center" vertical="center" wrapText="1"/>
    </xf>
    <xf numFmtId="0" fontId="26" fillId="9" borderId="4" xfId="0" applyFont="1" applyFill="1" applyBorder="1" applyAlignment="1" applyProtection="1">
      <alignment horizontal="center" vertical="center" wrapText="1"/>
    </xf>
    <xf numFmtId="0" fontId="26" fillId="9" borderId="5" xfId="0" applyFont="1" applyFill="1" applyBorder="1" applyAlignment="1" applyProtection="1">
      <alignment horizontal="center" vertical="center" wrapText="1"/>
    </xf>
    <xf numFmtId="0" fontId="26" fillId="9" borderId="8" xfId="0" applyFont="1" applyFill="1" applyBorder="1" applyAlignment="1" applyProtection="1">
      <alignment horizontal="center" vertical="center" wrapText="1"/>
    </xf>
    <xf numFmtId="0" fontId="26" fillId="9" borderId="9" xfId="0" applyFont="1" applyFill="1" applyBorder="1" applyAlignment="1" applyProtection="1">
      <alignment horizontal="center" vertical="center" wrapText="1"/>
    </xf>
    <xf numFmtId="0" fontId="26" fillId="9" borderId="10" xfId="0" applyFont="1" applyFill="1" applyBorder="1" applyAlignment="1" applyProtection="1">
      <alignment horizontal="center" vertical="center" wrapText="1"/>
    </xf>
    <xf numFmtId="0" fontId="0" fillId="15" borderId="0" xfId="0" applyFill="1" applyAlignment="1" applyProtection="1">
      <alignment horizontal="center"/>
    </xf>
    <xf numFmtId="0" fontId="0" fillId="7" borderId="4" xfId="0" applyFont="1" applyFill="1" applyBorder="1" applyAlignment="1" applyProtection="1">
      <alignment horizontal="center" vertical="center" wrapText="1"/>
    </xf>
    <xf numFmtId="0" fontId="12" fillId="9" borderId="3" xfId="0" applyFont="1" applyFill="1" applyBorder="1" applyAlignment="1">
      <alignment horizontal="center"/>
    </xf>
    <xf numFmtId="0" fontId="12" fillId="9" borderId="4" xfId="0" applyFont="1" applyFill="1" applyBorder="1" applyAlignment="1">
      <alignment horizontal="center"/>
    </xf>
    <xf numFmtId="0" fontId="12" fillId="9" borderId="5" xfId="0" applyFont="1" applyFill="1" applyBorder="1" applyAlignment="1">
      <alignment horizontal="center"/>
    </xf>
    <xf numFmtId="0" fontId="0" fillId="7" borderId="24" xfId="0" applyFill="1" applyBorder="1" applyAlignment="1">
      <alignment horizontal="center"/>
    </xf>
    <xf numFmtId="0" fontId="0" fillId="7" borderId="56" xfId="0" applyFill="1" applyBorder="1" applyAlignment="1">
      <alignment horizontal="center"/>
    </xf>
    <xf numFmtId="0" fontId="12" fillId="9" borderId="3" xfId="0" applyFont="1" applyFill="1" applyBorder="1" applyAlignment="1" applyProtection="1">
      <alignment horizontal="center"/>
    </xf>
    <xf numFmtId="0" fontId="12" fillId="9" borderId="4" xfId="0" applyFont="1" applyFill="1" applyBorder="1" applyAlignment="1" applyProtection="1">
      <alignment horizontal="center"/>
    </xf>
    <xf numFmtId="0" fontId="12" fillId="9" borderId="5" xfId="0" applyFont="1" applyFill="1" applyBorder="1" applyAlignment="1" applyProtection="1">
      <alignment horizontal="center"/>
    </xf>
    <xf numFmtId="0" fontId="0" fillId="17" borderId="24" xfId="0" applyFill="1" applyBorder="1" applyAlignment="1">
      <alignment horizontal="center"/>
    </xf>
    <xf numFmtId="0" fontId="0" fillId="17" borderId="25" xfId="0" applyFill="1" applyBorder="1" applyAlignment="1">
      <alignment horizontal="center"/>
    </xf>
    <xf numFmtId="0" fontId="0" fillId="17" borderId="26" xfId="0" applyFill="1" applyBorder="1" applyAlignment="1">
      <alignment horizontal="center"/>
    </xf>
    <xf numFmtId="0" fontId="0" fillId="7" borderId="16" xfId="0" applyFill="1" applyBorder="1" applyAlignment="1" applyProtection="1">
      <alignment horizontal="center"/>
    </xf>
    <xf numFmtId="0" fontId="0" fillId="7" borderId="18" xfId="0" applyFill="1" applyBorder="1" applyAlignment="1" applyProtection="1">
      <alignment horizontal="center"/>
    </xf>
    <xf numFmtId="0" fontId="28" fillId="9" borderId="68" xfId="0" applyFont="1" applyFill="1" applyBorder="1" applyAlignment="1">
      <alignment horizontal="center" wrapText="1"/>
    </xf>
    <xf numFmtId="0" fontId="28" fillId="9" borderId="69" xfId="0" applyFont="1" applyFill="1" applyBorder="1" applyAlignment="1">
      <alignment horizontal="center" wrapText="1"/>
    </xf>
    <xf numFmtId="0" fontId="28" fillId="9" borderId="72" xfId="0" applyFont="1" applyFill="1" applyBorder="1" applyAlignment="1">
      <alignment horizontal="center" vertical="center" wrapText="1"/>
    </xf>
    <xf numFmtId="0" fontId="28" fillId="9" borderId="73" xfId="0" applyFont="1" applyFill="1" applyBorder="1" applyAlignment="1">
      <alignment horizontal="center" vertical="center" wrapText="1"/>
    </xf>
    <xf numFmtId="0" fontId="27" fillId="9" borderId="5" xfId="0" applyFont="1" applyFill="1" applyBorder="1" applyAlignment="1">
      <alignment horizontal="center" wrapText="1"/>
    </xf>
    <xf numFmtId="0" fontId="27" fillId="9" borderId="10" xfId="0" applyFont="1" applyFill="1" applyBorder="1" applyAlignment="1">
      <alignment horizontal="center" wrapText="1"/>
    </xf>
    <xf numFmtId="0" fontId="5" fillId="3" borderId="16" xfId="5" applyFill="1" applyBorder="1" applyAlignment="1" applyProtection="1">
      <alignment horizontal="center"/>
      <protection locked="0"/>
    </xf>
    <xf numFmtId="0" fontId="5" fillId="3" borderId="0" xfId="5" applyFill="1" applyBorder="1" applyAlignment="1" applyProtection="1">
      <alignment horizontal="center"/>
      <protection locked="0"/>
    </xf>
    <xf numFmtId="0" fontId="5" fillId="3" borderId="17" xfId="5" applyFill="1" applyBorder="1" applyAlignment="1" applyProtection="1">
      <alignment horizontal="center"/>
      <protection locked="0"/>
    </xf>
    <xf numFmtId="0" fontId="5" fillId="3" borderId="3" xfId="5" applyFill="1" applyBorder="1" applyAlignment="1" applyProtection="1">
      <alignment horizontal="center"/>
      <protection locked="0"/>
    </xf>
    <xf numFmtId="0" fontId="5" fillId="3" borderId="4" xfId="5" applyFill="1" applyBorder="1" applyAlignment="1" applyProtection="1">
      <alignment horizontal="center"/>
      <protection locked="0"/>
    </xf>
    <xf numFmtId="0" fontId="5" fillId="3" borderId="5" xfId="5" applyFill="1" applyBorder="1" applyAlignment="1" applyProtection="1">
      <alignment horizontal="center"/>
      <protection locked="0"/>
    </xf>
    <xf numFmtId="0" fontId="5" fillId="3" borderId="8" xfId="5" applyFill="1" applyBorder="1" applyAlignment="1" applyProtection="1">
      <alignment horizontal="center"/>
      <protection locked="0"/>
    </xf>
    <xf numFmtId="0" fontId="5" fillId="3" borderId="9" xfId="5" applyFill="1" applyBorder="1" applyAlignment="1" applyProtection="1">
      <alignment horizontal="center"/>
      <protection locked="0"/>
    </xf>
    <xf numFmtId="0" fontId="5" fillId="3" borderId="10" xfId="5" applyFill="1" applyBorder="1" applyAlignment="1" applyProtection="1">
      <alignment horizontal="center"/>
      <protection locked="0"/>
    </xf>
    <xf numFmtId="0" fontId="0" fillId="3" borderId="48" xfId="4" applyFont="1" applyBorder="1" applyAlignment="1">
      <alignment horizontal="left" wrapText="1"/>
    </xf>
    <xf numFmtId="0" fontId="0" fillId="3" borderId="0" xfId="4" applyFont="1" applyBorder="1" applyAlignment="1">
      <alignment horizontal="left" wrapText="1"/>
    </xf>
    <xf numFmtId="0" fontId="0" fillId="3" borderId="17" xfId="4" applyFont="1" applyBorder="1" applyAlignment="1">
      <alignment horizontal="left" wrapText="1"/>
    </xf>
    <xf numFmtId="0" fontId="20" fillId="9" borderId="3" xfId="0" applyFont="1" applyFill="1" applyBorder="1" applyAlignment="1">
      <alignment horizontal="center" vertical="center"/>
    </xf>
    <xf numFmtId="0" fontId="20" fillId="9" borderId="4" xfId="0" applyFont="1" applyFill="1" applyBorder="1" applyAlignment="1">
      <alignment horizontal="center" vertical="center"/>
    </xf>
    <xf numFmtId="0" fontId="20" fillId="9" borderId="5" xfId="0" applyFont="1" applyFill="1" applyBorder="1" applyAlignment="1">
      <alignment horizontal="center" vertical="center"/>
    </xf>
    <xf numFmtId="0" fontId="20" fillId="9" borderId="8" xfId="0" applyFont="1" applyFill="1" applyBorder="1" applyAlignment="1">
      <alignment horizontal="center" vertical="center"/>
    </xf>
    <xf numFmtId="0" fontId="20" fillId="9" borderId="9" xfId="0" applyFont="1" applyFill="1" applyBorder="1" applyAlignment="1">
      <alignment horizontal="center" vertical="center"/>
    </xf>
    <xf numFmtId="0" fontId="20" fillId="9" borderId="10" xfId="0" applyFont="1" applyFill="1" applyBorder="1" applyAlignment="1">
      <alignment horizontal="center" vertical="center"/>
    </xf>
    <xf numFmtId="0" fontId="23" fillId="9" borderId="3" xfId="0" applyFont="1" applyFill="1" applyBorder="1" applyAlignment="1">
      <alignment horizontal="center" vertical="center" wrapText="1"/>
    </xf>
    <xf numFmtId="0" fontId="23" fillId="9" borderId="4" xfId="0" applyFont="1" applyFill="1" applyBorder="1" applyAlignment="1">
      <alignment horizontal="center" vertical="center" wrapText="1"/>
    </xf>
    <xf numFmtId="0" fontId="23" fillId="9" borderId="5" xfId="0" applyFont="1" applyFill="1" applyBorder="1" applyAlignment="1">
      <alignment horizontal="center" vertical="center" wrapText="1"/>
    </xf>
    <xf numFmtId="0" fontId="23" fillId="9" borderId="16" xfId="0" applyFont="1" applyFill="1" applyBorder="1" applyAlignment="1">
      <alignment horizontal="center" vertical="center" wrapText="1"/>
    </xf>
    <xf numFmtId="0" fontId="23" fillId="9" borderId="0" xfId="0" applyFont="1" applyFill="1" applyBorder="1" applyAlignment="1">
      <alignment horizontal="center" vertical="center" wrapText="1"/>
    </xf>
    <xf numFmtId="0" fontId="23" fillId="9" borderId="17" xfId="0" applyFont="1" applyFill="1" applyBorder="1" applyAlignment="1">
      <alignment horizontal="center" vertical="center" wrapText="1"/>
    </xf>
    <xf numFmtId="0" fontId="29" fillId="7" borderId="0" xfId="0" applyFont="1" applyFill="1" applyBorder="1" applyAlignment="1" applyProtection="1">
      <alignment horizontal="center" vertical="center" wrapText="1"/>
    </xf>
    <xf numFmtId="0" fontId="0" fillId="7" borderId="3" xfId="0" applyFill="1" applyBorder="1" applyAlignment="1">
      <alignment horizontal="left" wrapText="1"/>
    </xf>
    <xf numFmtId="0" fontId="0" fillId="7" borderId="4" xfId="0" applyFill="1" applyBorder="1" applyAlignment="1">
      <alignment horizontal="left" wrapText="1"/>
    </xf>
    <xf numFmtId="0" fontId="0" fillId="7" borderId="8" xfId="0" applyFill="1" applyBorder="1" applyAlignment="1">
      <alignment horizontal="left" wrapText="1"/>
    </xf>
    <xf numFmtId="0" fontId="0" fillId="7" borderId="9" xfId="0" applyFill="1" applyBorder="1" applyAlignment="1">
      <alignment horizontal="left" wrapText="1"/>
    </xf>
    <xf numFmtId="10" fontId="0" fillId="3" borderId="57" xfId="2" applyNumberFormat="1" applyFont="1" applyFill="1" applyBorder="1" applyAlignment="1" applyProtection="1">
      <alignment horizontal="center" vertical="center"/>
      <protection locked="0"/>
    </xf>
    <xf numFmtId="10" fontId="0" fillId="3" borderId="43" xfId="2" applyNumberFormat="1" applyFont="1" applyFill="1" applyBorder="1" applyAlignment="1" applyProtection="1">
      <alignment horizontal="center" vertical="center"/>
      <protection locked="0"/>
    </xf>
    <xf numFmtId="0" fontId="12" fillId="9" borderId="24" xfId="0" applyFont="1" applyFill="1" applyBorder="1" applyAlignment="1">
      <alignment horizontal="center"/>
    </xf>
    <xf numFmtId="0" fontId="12" fillId="9" borderId="25" xfId="0" applyFont="1" applyFill="1" applyBorder="1" applyAlignment="1">
      <alignment horizontal="center"/>
    </xf>
    <xf numFmtId="0" fontId="2" fillId="2" borderId="1" xfId="3" applyAlignment="1" applyProtection="1">
      <alignment horizontal="left" vertical="center" wrapText="1"/>
    </xf>
    <xf numFmtId="164" fontId="2" fillId="2" borderId="40" xfId="3" applyNumberFormat="1" applyBorder="1" applyAlignment="1" applyProtection="1">
      <alignment horizontal="center" vertical="center"/>
    </xf>
    <xf numFmtId="164" fontId="2" fillId="2" borderId="5" xfId="3" applyNumberFormat="1" applyBorder="1" applyAlignment="1" applyProtection="1">
      <alignment horizontal="center" vertical="center"/>
    </xf>
    <xf numFmtId="0" fontId="25" fillId="3" borderId="3" xfId="4" applyFont="1" applyBorder="1" applyAlignment="1">
      <alignment horizontal="center" vertical="center"/>
    </xf>
    <xf numFmtId="0" fontId="25" fillId="3" borderId="4" xfId="4" applyFont="1" applyBorder="1" applyAlignment="1">
      <alignment horizontal="center" vertical="center"/>
    </xf>
    <xf numFmtId="0" fontId="25" fillId="3" borderId="5" xfId="4" applyFont="1" applyBorder="1" applyAlignment="1">
      <alignment horizontal="center" vertical="center"/>
    </xf>
    <xf numFmtId="0" fontId="25" fillId="3" borderId="8" xfId="4" applyFont="1" applyBorder="1" applyAlignment="1">
      <alignment horizontal="center" vertical="center"/>
    </xf>
    <xf numFmtId="0" fontId="25" fillId="3" borderId="9" xfId="4" applyFont="1" applyBorder="1" applyAlignment="1">
      <alignment horizontal="center" vertical="center"/>
    </xf>
    <xf numFmtId="0" fontId="25" fillId="3" borderId="10" xfId="4" applyFont="1" applyBorder="1" applyAlignment="1">
      <alignment horizontal="center" vertical="center"/>
    </xf>
    <xf numFmtId="0" fontId="0" fillId="7" borderId="8" xfId="0" applyFill="1" applyBorder="1" applyAlignment="1">
      <alignment horizontal="center"/>
    </xf>
    <xf numFmtId="0" fontId="0" fillId="7" borderId="42" xfId="0" applyFill="1" applyBorder="1" applyAlignment="1">
      <alignment horizontal="center"/>
    </xf>
    <xf numFmtId="0" fontId="0" fillId="7" borderId="25" xfId="0" applyFill="1" applyBorder="1" applyAlignment="1">
      <alignment horizontal="center"/>
    </xf>
    <xf numFmtId="0" fontId="0" fillId="7" borderId="26" xfId="0" applyFill="1" applyBorder="1" applyAlignment="1">
      <alignment horizontal="center"/>
    </xf>
    <xf numFmtId="164" fontId="1" fillId="16" borderId="61" xfId="6" applyNumberFormat="1" applyBorder="1" applyAlignment="1">
      <alignment horizontal="center" vertical="center"/>
    </xf>
    <xf numFmtId="164" fontId="1" fillId="16" borderId="32" xfId="6" applyNumberFormat="1" applyBorder="1" applyAlignment="1">
      <alignment horizontal="center" vertical="center"/>
    </xf>
    <xf numFmtId="0" fontId="0" fillId="7" borderId="59" xfId="0" applyFill="1" applyBorder="1" applyAlignment="1">
      <alignment horizontal="left" vertical="center" wrapText="1"/>
    </xf>
    <xf numFmtId="0" fontId="0" fillId="7" borderId="60" xfId="0" applyFill="1" applyBorder="1" applyAlignment="1">
      <alignment horizontal="left" vertical="center" wrapText="1"/>
    </xf>
    <xf numFmtId="0" fontId="22" fillId="9" borderId="29" xfId="0" applyFont="1" applyFill="1" applyBorder="1" applyAlignment="1">
      <alignment horizontal="center" vertical="center" wrapText="1"/>
    </xf>
    <xf numFmtId="0" fontId="22" fillId="9" borderId="30"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22" fillId="9" borderId="16" xfId="0" applyFont="1" applyFill="1" applyBorder="1" applyAlignment="1">
      <alignment horizontal="center" vertical="center" wrapText="1"/>
    </xf>
    <xf numFmtId="0" fontId="22" fillId="9" borderId="17" xfId="0" applyFont="1" applyFill="1" applyBorder="1" applyAlignment="1">
      <alignment horizontal="center" vertical="center" wrapText="1"/>
    </xf>
    <xf numFmtId="10" fontId="0" fillId="7" borderId="29" xfId="2" applyNumberFormat="1" applyFont="1" applyFill="1" applyBorder="1" applyAlignment="1">
      <alignment horizontal="center" vertical="center" wrapText="1"/>
    </xf>
    <xf numFmtId="10" fontId="0" fillId="7" borderId="32" xfId="2" applyNumberFormat="1" applyFont="1" applyFill="1" applyBorder="1" applyAlignment="1">
      <alignment horizontal="center" vertical="center" wrapText="1"/>
    </xf>
    <xf numFmtId="0" fontId="0" fillId="7" borderId="29" xfId="0" applyFill="1" applyBorder="1" applyAlignment="1">
      <alignment horizontal="center" wrapText="1"/>
    </xf>
    <xf numFmtId="0" fontId="0" fillId="7" borderId="32" xfId="0" applyFill="1" applyBorder="1" applyAlignment="1">
      <alignment horizontal="center" wrapText="1"/>
    </xf>
    <xf numFmtId="164" fontId="0" fillId="6" borderId="0" xfId="1" applyNumberFormat="1" applyFont="1" applyFill="1" applyBorder="1" applyAlignment="1">
      <alignment horizontal="center" vertical="center"/>
    </xf>
    <xf numFmtId="164" fontId="0" fillId="7" borderId="29" xfId="1" applyNumberFormat="1" applyFont="1" applyFill="1" applyBorder="1" applyAlignment="1">
      <alignment horizontal="center" vertical="center" wrapText="1"/>
    </xf>
    <xf numFmtId="164" fontId="0" fillId="7" borderId="32" xfId="1" applyNumberFormat="1" applyFont="1" applyFill="1" applyBorder="1" applyAlignment="1">
      <alignment horizontal="center" vertical="center" wrapText="1"/>
    </xf>
    <xf numFmtId="164" fontId="0" fillId="7" borderId="3" xfId="0" applyNumberFormat="1" applyFill="1" applyBorder="1" applyAlignment="1">
      <alignment horizontal="right" vertical="center"/>
    </xf>
    <xf numFmtId="164" fontId="0" fillId="7" borderId="4" xfId="0" applyNumberFormat="1" applyFill="1" applyBorder="1" applyAlignment="1">
      <alignment horizontal="right" vertical="center"/>
    </xf>
    <xf numFmtId="164" fontId="0" fillId="7" borderId="8" xfId="0" applyNumberFormat="1" applyFill="1" applyBorder="1" applyAlignment="1">
      <alignment horizontal="right" vertical="center"/>
    </xf>
    <xf numFmtId="164" fontId="0" fillId="7" borderId="9" xfId="0" applyNumberFormat="1" applyFill="1" applyBorder="1" applyAlignment="1">
      <alignment horizontal="right" vertical="center"/>
    </xf>
    <xf numFmtId="0" fontId="2" fillId="2" borderId="76" xfId="3" applyBorder="1" applyAlignment="1" applyProtection="1">
      <alignment horizontal="left" vertical="center" wrapText="1"/>
    </xf>
    <xf numFmtId="164" fontId="2" fillId="2" borderId="30" xfId="3" applyNumberFormat="1" applyBorder="1" applyAlignment="1" applyProtection="1">
      <alignment horizontal="center" vertical="center"/>
    </xf>
    <xf numFmtId="164" fontId="2" fillId="2" borderId="17" xfId="3" applyNumberFormat="1" applyBorder="1" applyAlignment="1" applyProtection="1">
      <alignment horizontal="center" vertical="center"/>
    </xf>
    <xf numFmtId="0" fontId="0" fillId="7" borderId="16" xfId="0" applyFill="1" applyBorder="1" applyAlignment="1" applyProtection="1">
      <alignment horizontal="left"/>
    </xf>
    <xf numFmtId="0" fontId="0" fillId="7" borderId="17" xfId="0" applyFill="1" applyBorder="1" applyAlignment="1" applyProtection="1">
      <alignment horizontal="left"/>
    </xf>
    <xf numFmtId="164" fontId="2" fillId="2" borderId="77" xfId="3" applyNumberFormat="1" applyBorder="1" applyProtection="1"/>
    <xf numFmtId="164" fontId="2" fillId="2" borderId="78" xfId="3" applyNumberFormat="1" applyBorder="1" applyProtection="1"/>
    <xf numFmtId="164" fontId="2" fillId="2" borderId="78" xfId="1" applyNumberFormat="1" applyFont="1" applyFill="1" applyBorder="1" applyProtection="1"/>
    <xf numFmtId="0" fontId="2" fillId="4" borderId="0" xfId="3" applyFill="1" applyBorder="1" applyAlignment="1" applyProtection="1">
      <alignment horizontal="left" vertical="center" wrapText="1"/>
    </xf>
    <xf numFmtId="164" fontId="2" fillId="4" borderId="0" xfId="3" applyNumberFormat="1" applyFill="1" applyBorder="1" applyAlignment="1" applyProtection="1">
      <alignment horizontal="center" vertical="center"/>
    </xf>
    <xf numFmtId="0" fontId="0" fillId="4" borderId="0" xfId="4" applyFont="1" applyFill="1" applyBorder="1" applyProtection="1"/>
    <xf numFmtId="0" fontId="20" fillId="9" borderId="24" xfId="0" applyFont="1" applyFill="1" applyBorder="1" applyAlignment="1" applyProtection="1">
      <alignment horizontal="center" vertical="center"/>
    </xf>
    <xf numFmtId="0" fontId="20" fillId="9" borderId="25" xfId="0" applyFont="1" applyFill="1" applyBorder="1" applyAlignment="1" applyProtection="1">
      <alignment horizontal="center" vertical="center"/>
    </xf>
    <xf numFmtId="164" fontId="0" fillId="10" borderId="29" xfId="1" applyNumberFormat="1" applyFont="1" applyFill="1" applyBorder="1" applyProtection="1"/>
    <xf numFmtId="0" fontId="0" fillId="7" borderId="3" xfId="0" applyFill="1" applyBorder="1" applyProtection="1"/>
    <xf numFmtId="0" fontId="0" fillId="7" borderId="4" xfId="4" applyFont="1" applyFill="1" applyBorder="1" applyProtection="1"/>
    <xf numFmtId="0" fontId="0" fillId="7" borderId="0" xfId="4" applyFont="1" applyFill="1" applyBorder="1" applyProtection="1"/>
    <xf numFmtId="0" fontId="0" fillId="7" borderId="8" xfId="0" applyFill="1" applyBorder="1" applyProtection="1"/>
    <xf numFmtId="0" fontId="0" fillId="7" borderId="9" xfId="4" applyFont="1" applyFill="1" applyBorder="1" applyProtection="1"/>
    <xf numFmtId="164" fontId="0" fillId="10" borderId="29" xfId="1" applyNumberFormat="1" applyFont="1" applyFill="1" applyBorder="1"/>
    <xf numFmtId="164" fontId="0" fillId="10" borderId="30" xfId="1" applyNumberFormat="1" applyFont="1" applyFill="1" applyBorder="1"/>
    <xf numFmtId="164" fontId="2" fillId="2" borderId="49" xfId="1" applyNumberFormat="1" applyFont="1" applyFill="1" applyBorder="1"/>
    <xf numFmtId="0" fontId="2" fillId="2" borderId="79" xfId="3" applyBorder="1" applyAlignment="1" applyProtection="1">
      <alignment horizontal="center"/>
    </xf>
    <xf numFmtId="0" fontId="2" fillId="2" borderId="80" xfId="3" applyBorder="1" applyAlignment="1" applyProtection="1">
      <alignment horizontal="center"/>
    </xf>
    <xf numFmtId="44" fontId="0" fillId="10" borderId="17" xfId="1" applyNumberFormat="1" applyFont="1" applyFill="1" applyBorder="1" applyAlignment="1" applyProtection="1">
      <alignment horizontal="center"/>
    </xf>
    <xf numFmtId="0" fontId="26" fillId="9" borderId="3" xfId="0" applyFont="1" applyFill="1" applyBorder="1" applyAlignment="1">
      <alignment vertical="center"/>
    </xf>
    <xf numFmtId="0" fontId="26" fillId="9" borderId="4" xfId="0" applyFont="1" applyFill="1" applyBorder="1" applyAlignment="1">
      <alignment vertical="center"/>
    </xf>
    <xf numFmtId="0" fontId="26" fillId="9" borderId="5" xfId="0" applyFont="1" applyFill="1" applyBorder="1" applyAlignment="1">
      <alignment vertical="center"/>
    </xf>
    <xf numFmtId="0" fontId="0" fillId="7" borderId="17" xfId="0" applyFill="1" applyBorder="1" applyAlignment="1">
      <alignment horizontal="center" wrapText="1"/>
    </xf>
    <xf numFmtId="164" fontId="0" fillId="18" borderId="17" xfId="0" applyNumberFormat="1" applyFill="1" applyBorder="1"/>
    <xf numFmtId="164" fontId="0" fillId="18" borderId="10" xfId="0" applyNumberFormat="1" applyFill="1" applyBorder="1"/>
    <xf numFmtId="0" fontId="26" fillId="9" borderId="8" xfId="0" applyFont="1" applyFill="1" applyBorder="1" applyAlignment="1">
      <alignment vertical="center"/>
    </xf>
    <xf numFmtId="0" fontId="26" fillId="9" borderId="9" xfId="0" applyFont="1" applyFill="1" applyBorder="1" applyAlignment="1">
      <alignment vertical="center"/>
    </xf>
    <xf numFmtId="0" fontId="26" fillId="9" borderId="10" xfId="0" applyFont="1" applyFill="1" applyBorder="1" applyAlignment="1">
      <alignment vertical="center"/>
    </xf>
    <xf numFmtId="0" fontId="0" fillId="18" borderId="30" xfId="0" applyFill="1" applyBorder="1"/>
    <xf numFmtId="0" fontId="0" fillId="18" borderId="32" xfId="0" applyFill="1" applyBorder="1"/>
    <xf numFmtId="0" fontId="0" fillId="7" borderId="68" xfId="0" applyFill="1" applyBorder="1" applyAlignment="1">
      <alignment horizontal="center" wrapText="1"/>
    </xf>
    <xf numFmtId="164" fontId="0" fillId="10" borderId="75" xfId="0" applyNumberFormat="1" applyFill="1" applyBorder="1"/>
    <xf numFmtId="164" fontId="0" fillId="18" borderId="75" xfId="0" applyNumberFormat="1" applyFill="1" applyBorder="1"/>
    <xf numFmtId="164" fontId="0" fillId="18" borderId="69" xfId="0" applyNumberFormat="1" applyFill="1" applyBorder="1"/>
    <xf numFmtId="0" fontId="0" fillId="7" borderId="60" xfId="0" applyFont="1" applyFill="1" applyBorder="1" applyAlignment="1">
      <alignment horizontal="center" wrapText="1"/>
    </xf>
    <xf numFmtId="0" fontId="0" fillId="7" borderId="10" xfId="0" applyFont="1" applyFill="1" applyBorder="1" applyAlignment="1">
      <alignment horizontal="center" wrapText="1"/>
    </xf>
    <xf numFmtId="0" fontId="0" fillId="7" borderId="59"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3" borderId="25" xfId="4" applyFont="1" applyBorder="1" applyAlignment="1" applyProtection="1">
      <alignment horizontal="center" vertical="center"/>
      <protection locked="0"/>
    </xf>
    <xf numFmtId="0" fontId="0" fillId="3" borderId="26" xfId="4" applyFont="1" applyBorder="1" applyAlignment="1" applyProtection="1">
      <alignment horizontal="center" vertical="center"/>
      <protection locked="0"/>
    </xf>
  </cellXfs>
  <cellStyles count="7">
    <cellStyle name="60% - Accent4" xfId="6" builtinId="44"/>
    <cellStyle name="Currency" xfId="1" builtinId="4"/>
    <cellStyle name="Hyperlink" xfId="5" builtinId="8"/>
    <cellStyle name="Input" xfId="3" builtinId="20"/>
    <cellStyle name="Normal" xfId="0" builtinId="0"/>
    <cellStyle name="Note" xfId="4" builtinId="1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1">
                <a:solidFill>
                  <a:schemeClr val="tx1"/>
                </a:solidFill>
              </a:rPr>
              <a:t>Balance</a:t>
            </a:r>
            <a:r>
              <a:rPr lang="en-CA" b="1" baseline="0">
                <a:solidFill>
                  <a:schemeClr val="tx1"/>
                </a:solidFill>
              </a:rPr>
              <a:t> After Paying Loan Back Over Time</a:t>
            </a:r>
            <a:endParaRPr lang="en-CA" b="1">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065673665791776"/>
          <c:y val="0.17171296296296296"/>
          <c:w val="0.75021041119860021"/>
          <c:h val="0.67884988334791463"/>
        </c:manualLayout>
      </c:layout>
      <c:lineChart>
        <c:grouping val="standard"/>
        <c:varyColors val="0"/>
        <c:ser>
          <c:idx val="0"/>
          <c:order val="0"/>
          <c:tx>
            <c:strRef>
              <c:f>'Inputs and Detailed Calc'!$M$58</c:f>
              <c:strCache>
                <c:ptCount val="1"/>
                <c:pt idx="0">
                  <c:v>High Income Spouse</c:v>
                </c:pt>
              </c:strCache>
            </c:strRef>
          </c:tx>
          <c:spPr>
            <a:ln w="28575" cap="rnd">
              <a:solidFill>
                <a:schemeClr val="accent1"/>
              </a:solidFill>
              <a:round/>
            </a:ln>
            <a:effectLst/>
          </c:spPr>
          <c:marker>
            <c:symbol val="none"/>
          </c:marker>
          <c:val>
            <c:numRef>
              <c:f>'Inputs and Detailed Calc'!$M$59:$M$84</c:f>
              <c:numCache>
                <c:formatCode>_("$"* #,##0_);_("$"* \(#,##0\);_("$"* "-"??_);_(@_)</c:formatCode>
                <c:ptCount val="26"/>
                <c:pt idx="0">
                  <c:v>0</c:v>
                </c:pt>
                <c:pt idx="1">
                  <c:v>15070.316639999975</c:v>
                </c:pt>
                <c:pt idx="2">
                  <c:v>30394.277006995166</c:v>
                </c:pt>
                <c:pt idx="3">
                  <c:v>45993.322446054954</c:v>
                </c:pt>
                <c:pt idx="4">
                  <c:v>61889.732034694753</c:v>
                </c:pt>
                <c:pt idx="5">
                  <c:v>78106.666330576583</c:v>
                </c:pt>
                <c:pt idx="6">
                  <c:v>85710.453134395822</c:v>
                </c:pt>
                <c:pt idx="7">
                  <c:v>93256.011590804439</c:v>
                </c:pt>
                <c:pt idx="8">
                  <c:v>100748.98926829064</c:v>
                </c:pt>
                <c:pt idx="9">
                  <c:v>108195.13493274245</c:v>
                </c:pt>
                <c:pt idx="10">
                  <c:v>115600.30675318505</c:v>
                </c:pt>
                <c:pt idx="11">
                  <c:v>119530.48083206604</c:v>
                </c:pt>
                <c:pt idx="12">
                  <c:v>123267.43451054022</c:v>
                </c:pt>
                <c:pt idx="13">
                  <c:v>126902.15794268646</c:v>
                </c:pt>
                <c:pt idx="14">
                  <c:v>130252.03274663442</c:v>
                </c:pt>
                <c:pt idx="15">
                  <c:v>133403.37036094361</c:v>
                </c:pt>
                <c:pt idx="16">
                  <c:v>136353.85800189269</c:v>
                </c:pt>
                <c:pt idx="17">
                  <c:v>139100.92898323204</c:v>
                </c:pt>
                <c:pt idx="18">
                  <c:v>141641.75345595891</c:v>
                </c:pt>
                <c:pt idx="19">
                  <c:v>143973.22864837156</c:v>
                </c:pt>
                <c:pt idx="20">
                  <c:v>146091.96858367769</c:v>
                </c:pt>
                <c:pt idx="21">
                  <c:v>147994.2932513257</c:v>
                </c:pt>
                <c:pt idx="22">
                  <c:v>149676.21720706491</c:v>
                </c:pt>
                <c:pt idx="23">
                  <c:v>151133.43757552607</c:v>
                </c:pt>
                <c:pt idx="24">
                  <c:v>152361.32142783899</c:v>
                </c:pt>
                <c:pt idx="25">
                  <c:v>153354.89250547087</c:v>
                </c:pt>
              </c:numCache>
            </c:numRef>
          </c:val>
          <c:smooth val="0"/>
          <c:extLst>
            <c:ext xmlns:c16="http://schemas.microsoft.com/office/drawing/2014/chart" uri="{C3380CC4-5D6E-409C-BE32-E72D297353CC}">
              <c16:uniqueId val="{00000000-8839-4783-B728-3BDC7CDFB0B8}"/>
            </c:ext>
          </c:extLst>
        </c:ser>
        <c:ser>
          <c:idx val="1"/>
          <c:order val="1"/>
          <c:tx>
            <c:strRef>
              <c:f>'Inputs and Detailed Calc'!$N$58</c:f>
              <c:strCache>
                <c:ptCount val="1"/>
                <c:pt idx="0">
                  <c:v>Low Income Spouse</c:v>
                </c:pt>
              </c:strCache>
            </c:strRef>
          </c:tx>
          <c:spPr>
            <a:ln w="28575" cap="rnd">
              <a:solidFill>
                <a:schemeClr val="accent2"/>
              </a:solidFill>
              <a:round/>
            </a:ln>
            <a:effectLst/>
          </c:spPr>
          <c:marker>
            <c:symbol val="none"/>
          </c:marker>
          <c:val>
            <c:numRef>
              <c:f>'Inputs and Detailed Calc'!$N$59:$N$84</c:f>
              <c:numCache>
                <c:formatCode>_("$"* #,##0_);_("$"* \(#,##0\);_("$"* "-"??_);_(@_)</c:formatCode>
                <c:ptCount val="26"/>
                <c:pt idx="0">
                  <c:v>0</c:v>
                </c:pt>
                <c:pt idx="1">
                  <c:v>18334.377839999972</c:v>
                </c:pt>
                <c:pt idx="2">
                  <c:v>37187.005979155365</c:v>
                </c:pt>
                <c:pt idx="3">
                  <c:v>56598.188838113507</c:v>
                </c:pt>
                <c:pt idx="4">
                  <c:v>76610.325959377806</c:v>
                </c:pt>
                <c:pt idx="5">
                  <c:v>97268.036221236689</c:v>
                </c:pt>
                <c:pt idx="6">
                  <c:v>109660.52907884005</c:v>
                </c:pt>
                <c:pt idx="7">
                  <c:v>122282.12330792821</c:v>
                </c:pt>
                <c:pt idx="8">
                  <c:v>135155.54596850974</c:v>
                </c:pt>
                <c:pt idx="9">
                  <c:v>148304.63323247113</c:v>
                </c:pt>
                <c:pt idx="10">
                  <c:v>161754.39773237717</c:v>
                </c:pt>
                <c:pt idx="11">
                  <c:v>172091.09968962893</c:v>
                </c:pt>
                <c:pt idx="12">
                  <c:v>182585.35586151318</c:v>
                </c:pt>
                <c:pt idx="13">
                  <c:v>193254.87343849952</c:v>
                </c:pt>
                <c:pt idx="14">
                  <c:v>204118.19976220999</c:v>
                </c:pt>
                <c:pt idx="15">
                  <c:v>215194.77390487079</c:v>
                </c:pt>
                <c:pt idx="16">
                  <c:v>226504.98113259266</c:v>
                </c:pt>
                <c:pt idx="17">
                  <c:v>238070.21041898985</c:v>
                </c:pt>
                <c:pt idx="18">
                  <c:v>249912.91518515517</c:v>
                </c:pt>
                <c:pt idx="19">
                  <c:v>262056.6774520592</c:v>
                </c:pt>
                <c:pt idx="20">
                  <c:v>274526.27560206898</c:v>
                </c:pt>
                <c:pt idx="21">
                  <c:v>287347.75595751742</c:v>
                </c:pt>
                <c:pt idx="22">
                  <c:v>300548.50839613529</c:v>
                </c:pt>
                <c:pt idx="23">
                  <c:v>314157.34623571765</c:v>
                </c:pt>
                <c:pt idx="24">
                  <c:v>328204.59063367685</c:v>
                </c:pt>
                <c:pt idx="25">
                  <c:v>342722.15976117796</c:v>
                </c:pt>
              </c:numCache>
            </c:numRef>
          </c:val>
          <c:smooth val="0"/>
          <c:extLst>
            <c:ext xmlns:c16="http://schemas.microsoft.com/office/drawing/2014/chart" uri="{C3380CC4-5D6E-409C-BE32-E72D297353CC}">
              <c16:uniqueId val="{00000001-8839-4783-B728-3BDC7CDFB0B8}"/>
            </c:ext>
          </c:extLst>
        </c:ser>
        <c:dLbls>
          <c:showLegendKey val="0"/>
          <c:showVal val="0"/>
          <c:showCatName val="0"/>
          <c:showSerName val="0"/>
          <c:showPercent val="0"/>
          <c:showBubbleSize val="0"/>
        </c:dLbls>
        <c:smooth val="0"/>
        <c:axId val="377582368"/>
        <c:axId val="377586632"/>
      </c:lineChart>
      <c:catAx>
        <c:axId val="3775823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b="1">
                    <a:solidFill>
                      <a:schemeClr val="tx1"/>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377586632"/>
        <c:crosses val="autoZero"/>
        <c:auto val="1"/>
        <c:lblAlgn val="ctr"/>
        <c:lblOffset val="100"/>
        <c:tickMarkSkip val="5"/>
        <c:noMultiLvlLbl val="0"/>
      </c:catAx>
      <c:valAx>
        <c:axId val="377586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b="1">
                    <a:solidFill>
                      <a:schemeClr val="tx1"/>
                    </a:solidFill>
                  </a:rPr>
                  <a:t>Value (Current Dollars</a:t>
                </a:r>
                <a:r>
                  <a:rPr lang="en-CA"/>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377582368"/>
        <c:crosses val="autoZero"/>
        <c:crossBetween val="midCat"/>
      </c:valAx>
      <c:spPr>
        <a:noFill/>
        <a:ln>
          <a:noFill/>
        </a:ln>
        <a:effectLst/>
      </c:spPr>
    </c:plotArea>
    <c:legend>
      <c:legendPos val="b"/>
      <c:layout>
        <c:manualLayout>
          <c:xMode val="edge"/>
          <c:yMode val="edge"/>
          <c:x val="0.19467650918635171"/>
          <c:y val="0.23205963837853602"/>
          <c:w val="0.37453565179352588"/>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812786</xdr:colOff>
      <xdr:row>13</xdr:row>
      <xdr:rowOff>37352</xdr:rowOff>
    </xdr:from>
    <xdr:to>
      <xdr:col>9</xdr:col>
      <xdr:colOff>1044514</xdr:colOff>
      <xdr:row>21</xdr:row>
      <xdr:rowOff>37352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64580" y="2513852"/>
          <a:ext cx="1509199" cy="1524000"/>
        </a:xfrm>
        <a:prstGeom prst="rect">
          <a:avLst/>
        </a:prstGeom>
      </xdr:spPr>
    </xdr:pic>
    <xdr:clientData/>
  </xdr:twoCellAnchor>
  <xdr:twoCellAnchor>
    <xdr:from>
      <xdr:col>0</xdr:col>
      <xdr:colOff>593911</xdr:colOff>
      <xdr:row>40</xdr:row>
      <xdr:rowOff>118782</xdr:rowOff>
    </xdr:from>
    <xdr:to>
      <xdr:col>5</xdr:col>
      <xdr:colOff>885264</xdr:colOff>
      <xdr:row>54</xdr:row>
      <xdr:rowOff>0</xdr:rowOff>
    </xdr:to>
    <xdr:graphicFrame macro="">
      <xdr:nvGraphicFramePr>
        <xdr:cNvPr id="5" name="Chart 4">
          <a:extLst>
            <a:ext uri="{FF2B5EF4-FFF2-40B4-BE49-F238E27FC236}">
              <a16:creationId xmlns:a16="http://schemas.microsoft.com/office/drawing/2014/main" id="{E66C8733-C620-4165-B418-7599F3DBCB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p.me/p9aCmg-nJ" TargetMode="External"/><Relationship Id="rId7" Type="http://schemas.openxmlformats.org/officeDocument/2006/relationships/vmlDrawing" Target="../drawings/vmlDrawing1.vml"/><Relationship Id="rId2" Type="http://schemas.openxmlformats.org/officeDocument/2006/relationships/hyperlink" Target="http://www.inflation.eu/inflation-rates/canada/historic-inflation/cpi-inflation-canada.aspx" TargetMode="External"/><Relationship Id="rId1" Type="http://schemas.openxmlformats.org/officeDocument/2006/relationships/hyperlink" Target="http://www.looniedoctor.c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looniedoctor.ca/2018/02/23/home-equity-income-splitting-investing/"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M209"/>
  <sheetViews>
    <sheetView tabSelected="1" topLeftCell="B1" zoomScale="85" zoomScaleNormal="85" workbookViewId="0">
      <selection activeCell="C6" sqref="C6"/>
    </sheetView>
  </sheetViews>
  <sheetFormatPr defaultRowHeight="15" x14ac:dyDescent="0.25"/>
  <cols>
    <col min="2" max="2" width="30.42578125" customWidth="1"/>
    <col min="3" max="3" width="17.42578125" customWidth="1"/>
    <col min="4" max="4" width="16.28515625" customWidth="1"/>
    <col min="5" max="5" width="15" customWidth="1"/>
    <col min="6" max="6" width="17" customWidth="1"/>
    <col min="7" max="7" width="13.85546875" customWidth="1"/>
    <col min="8" max="8" width="15.28515625" customWidth="1"/>
    <col min="9" max="9" width="19.140625" customWidth="1"/>
    <col min="10" max="10" width="17.28515625" customWidth="1"/>
    <col min="11" max="11" width="19.42578125" customWidth="1"/>
    <col min="12" max="12" width="16.85546875" customWidth="1"/>
    <col min="13" max="13" width="12.42578125" customWidth="1"/>
    <col min="14" max="14" width="11.5703125" customWidth="1"/>
    <col min="15" max="15" width="12" customWidth="1"/>
    <col min="16" max="16" width="10.7109375" customWidth="1"/>
    <col min="17" max="17" width="8.7109375" hidden="1" customWidth="1"/>
    <col min="18" max="18" width="20.28515625" hidden="1" customWidth="1"/>
    <col min="19" max="19" width="12.140625" hidden="1" customWidth="1"/>
    <col min="20" max="20" width="12.85546875" hidden="1" customWidth="1"/>
    <col min="21" max="21" width="11.5703125" hidden="1" customWidth="1"/>
    <col min="22" max="22" width="12.28515625" hidden="1" customWidth="1"/>
    <col min="23" max="23" width="11.42578125" hidden="1" customWidth="1"/>
    <col min="24" max="24" width="17" hidden="1" customWidth="1"/>
    <col min="25" max="25" width="13.42578125" hidden="1" customWidth="1"/>
    <col min="26" max="26" width="12.42578125" hidden="1" customWidth="1"/>
    <col min="27" max="35" width="13.28515625" hidden="1" customWidth="1"/>
    <col min="36" max="36" width="15.140625" hidden="1" customWidth="1"/>
    <col min="37" max="37" width="13.42578125" hidden="1" customWidth="1"/>
    <col min="38" max="38" width="11.85546875" hidden="1" customWidth="1"/>
    <col min="39" max="43" width="8.7109375" hidden="1" customWidth="1"/>
    <col min="44" max="44" width="11.7109375" hidden="1" customWidth="1"/>
    <col min="45" max="45" width="12.42578125" hidden="1" customWidth="1"/>
    <col min="46" max="46" width="12.140625" hidden="1" customWidth="1"/>
    <col min="47" max="47" width="12" hidden="1" customWidth="1"/>
    <col min="48" max="48" width="12.28515625" hidden="1" customWidth="1"/>
    <col min="49" max="49" width="11.85546875" hidden="1" customWidth="1"/>
    <col min="50" max="50" width="11.28515625" hidden="1" customWidth="1"/>
    <col min="51" max="51" width="13.7109375" hidden="1" customWidth="1"/>
    <col min="52" max="52" width="12.28515625" hidden="1" customWidth="1"/>
    <col min="53" max="53" width="8.7109375" hidden="1" customWidth="1"/>
    <col min="54" max="61" width="14.7109375" hidden="1" customWidth="1"/>
    <col min="62" max="62" width="10.7109375" hidden="1" customWidth="1"/>
    <col min="63" max="63" width="12.7109375" hidden="1" customWidth="1"/>
    <col min="64" max="64" width="8.7109375" hidden="1" customWidth="1"/>
    <col min="65" max="65" width="11.28515625" hidden="1" customWidth="1"/>
    <col min="66" max="66" width="8.7109375" hidden="1" customWidth="1"/>
    <col min="67" max="67" width="13.28515625" hidden="1" customWidth="1"/>
    <col min="68" max="78" width="15.42578125" hidden="1" customWidth="1"/>
    <col min="79" max="95" width="12.7109375" hidden="1" customWidth="1"/>
    <col min="96" max="107" width="8.7109375" hidden="1" customWidth="1"/>
    <col min="108" max="108" width="12.5703125" hidden="1" customWidth="1"/>
    <col min="109" max="109" width="10.5703125" hidden="1" customWidth="1"/>
    <col min="110" max="110" width="11.28515625" hidden="1" customWidth="1"/>
    <col min="111" max="111" width="13.28515625" hidden="1" customWidth="1"/>
    <col min="112" max="112" width="11.42578125" hidden="1" customWidth="1"/>
    <col min="113" max="114" width="11.5703125" hidden="1" customWidth="1"/>
    <col min="115" max="115" width="12.140625" hidden="1" customWidth="1"/>
    <col min="116" max="116" width="10.85546875" hidden="1" customWidth="1"/>
    <col min="117" max="117" width="8.7109375" hidden="1" customWidth="1"/>
  </cols>
  <sheetData>
    <row r="1" spans="1:116" ht="15" customHeight="1" x14ac:dyDescent="0.25">
      <c r="A1" s="1"/>
      <c r="B1" s="1"/>
      <c r="C1" s="1"/>
      <c r="D1" s="1"/>
      <c r="E1" s="1"/>
      <c r="F1" s="1"/>
      <c r="G1" s="1"/>
      <c r="H1" s="1"/>
      <c r="I1" s="1"/>
      <c r="J1" s="1"/>
      <c r="K1" s="1"/>
      <c r="L1" s="1"/>
      <c r="M1" s="1"/>
      <c r="N1" s="1"/>
      <c r="O1" s="1"/>
      <c r="P1" s="1"/>
      <c r="Q1" s="2"/>
      <c r="R1" s="3" t="s">
        <v>0</v>
      </c>
      <c r="X1" s="140"/>
      <c r="DE1" s="4"/>
    </row>
    <row r="2" spans="1:116" ht="15" customHeight="1" x14ac:dyDescent="0.25">
      <c r="A2" s="1"/>
      <c r="B2" s="465" t="s">
        <v>181</v>
      </c>
      <c r="C2" s="466"/>
      <c r="D2" s="467"/>
      <c r="E2" s="4"/>
      <c r="F2" s="46"/>
      <c r="G2" s="295"/>
      <c r="H2" s="295"/>
      <c r="I2" s="252"/>
      <c r="J2" s="5"/>
      <c r="K2" s="5"/>
      <c r="L2" s="480" t="s">
        <v>230</v>
      </c>
      <c r="M2" s="480"/>
      <c r="N2" s="480"/>
      <c r="O2" s="5"/>
      <c r="P2" s="5"/>
      <c r="Q2" s="6"/>
      <c r="R2" s="7" t="s">
        <v>1</v>
      </c>
      <c r="S2" s="8" t="s">
        <v>124</v>
      </c>
      <c r="T2" s="8" t="s">
        <v>126</v>
      </c>
      <c r="U2" s="8" t="s">
        <v>134</v>
      </c>
      <c r="V2" s="8" t="s">
        <v>137</v>
      </c>
      <c r="W2" s="8" t="s">
        <v>143</v>
      </c>
      <c r="X2" s="8" t="s">
        <v>142</v>
      </c>
      <c r="Y2" s="8" t="s">
        <v>151</v>
      </c>
      <c r="Z2" s="8" t="s">
        <v>166</v>
      </c>
      <c r="AA2" s="8" t="s">
        <v>169</v>
      </c>
      <c r="AB2" s="8" t="s">
        <v>244</v>
      </c>
      <c r="AC2" s="8" t="s">
        <v>245</v>
      </c>
      <c r="AD2" s="8" t="s">
        <v>173</v>
      </c>
      <c r="AE2" s="8" t="s">
        <v>175</v>
      </c>
      <c r="AF2" s="8" t="s">
        <v>177</v>
      </c>
      <c r="AG2" s="8" t="s">
        <v>193</v>
      </c>
      <c r="AH2" s="8" t="s">
        <v>197</v>
      </c>
      <c r="AI2" s="8" t="s">
        <v>198</v>
      </c>
      <c r="AJ2" s="8" t="s">
        <v>148</v>
      </c>
      <c r="AK2" s="9" t="s">
        <v>5</v>
      </c>
      <c r="AL2" s="10"/>
      <c r="AM2" s="11" t="s">
        <v>6</v>
      </c>
      <c r="AN2" s="9" t="s">
        <v>7</v>
      </c>
      <c r="AO2" s="9" t="s">
        <v>8</v>
      </c>
      <c r="AQ2" s="12"/>
      <c r="AR2" s="9" t="s">
        <v>12</v>
      </c>
      <c r="AT2" s="12"/>
      <c r="AU2" s="12"/>
      <c r="AV2" s="12"/>
      <c r="AW2" s="12" t="s">
        <v>12</v>
      </c>
      <c r="AX2" s="12"/>
      <c r="AY2" s="12"/>
      <c r="AZ2" s="12"/>
      <c r="BA2" s="12"/>
      <c r="BB2" s="12"/>
      <c r="BC2" s="12"/>
      <c r="BD2" s="12"/>
      <c r="BE2" s="12"/>
      <c r="BF2" s="12"/>
      <c r="BG2" s="12"/>
      <c r="BH2" s="12"/>
      <c r="BI2" s="12"/>
      <c r="BJ2" s="12" t="s">
        <v>9</v>
      </c>
      <c r="BK2" s="12"/>
      <c r="BL2" s="12"/>
      <c r="BM2" s="12"/>
      <c r="BN2" s="12"/>
      <c r="BO2" s="12"/>
      <c r="BP2" s="12"/>
      <c r="BQ2" s="12"/>
      <c r="BR2" s="12"/>
      <c r="BS2" s="12"/>
      <c r="BT2" s="12"/>
      <c r="BU2" s="12"/>
      <c r="BV2" s="12"/>
      <c r="BW2" s="12"/>
      <c r="BX2" s="12"/>
      <c r="BY2" s="12"/>
      <c r="BZ2" s="12"/>
      <c r="CA2" s="12" t="s">
        <v>10</v>
      </c>
      <c r="CB2" s="12"/>
      <c r="CC2" s="12"/>
      <c r="CD2" s="12"/>
      <c r="CE2" s="12"/>
      <c r="CF2" s="12"/>
      <c r="CG2" s="12"/>
      <c r="CH2" s="12"/>
      <c r="CI2" s="12"/>
      <c r="CJ2" s="12"/>
      <c r="CK2" s="12"/>
      <c r="CL2" s="12"/>
      <c r="CM2" s="12"/>
      <c r="CN2" s="12"/>
      <c r="CO2" s="12"/>
      <c r="CP2" s="12"/>
      <c r="CQ2" s="12"/>
      <c r="CS2" s="13"/>
      <c r="DE2" s="4"/>
    </row>
    <row r="3" spans="1:116" ht="15" customHeight="1" x14ac:dyDescent="0.25">
      <c r="A3" s="1"/>
      <c r="B3" s="465"/>
      <c r="C3" s="466"/>
      <c r="D3" s="467"/>
      <c r="E3" s="4"/>
      <c r="F3" s="295"/>
      <c r="G3" s="295"/>
      <c r="H3" s="295"/>
      <c r="I3" s="253"/>
      <c r="J3" s="5"/>
      <c r="K3" s="4"/>
      <c r="L3" s="480"/>
      <c r="M3" s="480"/>
      <c r="N3" s="480"/>
      <c r="O3" s="5"/>
      <c r="P3" s="5"/>
      <c r="Q3" s="2"/>
      <c r="R3" s="14" t="s">
        <v>11</v>
      </c>
      <c r="S3" s="15">
        <f>C7+C11</f>
        <v>60000</v>
      </c>
      <c r="T3" s="15">
        <f>C16+C20</f>
        <v>250000</v>
      </c>
      <c r="U3" s="15">
        <f>C7+G17*G6-G7*G6</f>
        <v>55885.760000000002</v>
      </c>
      <c r="V3" s="15">
        <f>T3+G7*G6</f>
        <v>258242.24</v>
      </c>
      <c r="W3" s="15">
        <f>S3+0.5*G17*G6</f>
        <v>62064</v>
      </c>
      <c r="X3" s="15">
        <f>T3+0.5*G17*G6</f>
        <v>252064</v>
      </c>
      <c r="Y3" s="15">
        <f>T3+G17*G6</f>
        <v>254128</v>
      </c>
      <c r="Z3" s="15">
        <f>J32</f>
        <v>0</v>
      </c>
      <c r="AA3" s="15">
        <f>I32</f>
        <v>0</v>
      </c>
      <c r="AB3" s="15">
        <f>J32</f>
        <v>0</v>
      </c>
      <c r="AC3" s="15">
        <f>I32</f>
        <v>0</v>
      </c>
      <c r="AD3" s="15">
        <f>J32</f>
        <v>0</v>
      </c>
      <c r="AE3" s="15">
        <f>I32</f>
        <v>0</v>
      </c>
      <c r="AF3" s="15">
        <f>I32</f>
        <v>0</v>
      </c>
      <c r="AG3" s="15">
        <f>T3</f>
        <v>250000</v>
      </c>
      <c r="AH3" s="15">
        <f>J32</f>
        <v>0</v>
      </c>
      <c r="AI3" s="15">
        <f>I32</f>
        <v>0</v>
      </c>
      <c r="AJ3" s="196">
        <f>W17+X17</f>
        <v>3297.8127599999862</v>
      </c>
      <c r="AK3" s="17"/>
      <c r="AL3" s="18"/>
      <c r="AM3" s="19"/>
      <c r="AN3" s="17"/>
      <c r="AO3" s="17"/>
      <c r="AP3" s="20"/>
      <c r="AQ3" s="21" t="s">
        <v>12</v>
      </c>
      <c r="AR3" s="21"/>
      <c r="AS3" s="22" t="s">
        <v>178</v>
      </c>
      <c r="AT3" s="16" t="s">
        <v>126</v>
      </c>
      <c r="AU3" s="16" t="s">
        <v>179</v>
      </c>
      <c r="AV3" s="16" t="s">
        <v>180</v>
      </c>
      <c r="AW3" s="8" t="s">
        <v>143</v>
      </c>
      <c r="AX3" s="8" t="s">
        <v>142</v>
      </c>
      <c r="AY3" s="8" t="s">
        <v>151</v>
      </c>
      <c r="AZ3" s="8" t="s">
        <v>166</v>
      </c>
      <c r="BA3" s="8" t="s">
        <v>169</v>
      </c>
      <c r="BB3" s="8" t="s">
        <v>170</v>
      </c>
      <c r="BC3" s="8" t="s">
        <v>171</v>
      </c>
      <c r="BD3" s="8" t="s">
        <v>173</v>
      </c>
      <c r="BE3" s="8" t="s">
        <v>175</v>
      </c>
      <c r="BF3" s="8" t="s">
        <v>177</v>
      </c>
      <c r="BG3" s="8" t="s">
        <v>193</v>
      </c>
      <c r="BH3" s="8" t="s">
        <v>197</v>
      </c>
      <c r="BI3" s="8" t="s">
        <v>198</v>
      </c>
      <c r="BJ3" s="16" t="s">
        <v>133</v>
      </c>
      <c r="BK3" s="16" t="s">
        <v>126</v>
      </c>
      <c r="BL3" s="16" t="s">
        <v>138</v>
      </c>
      <c r="BM3" s="16" t="s">
        <v>139</v>
      </c>
      <c r="BN3" s="16" t="s">
        <v>145</v>
      </c>
      <c r="BO3" s="16" t="s">
        <v>146</v>
      </c>
      <c r="BP3" s="16" t="s">
        <v>152</v>
      </c>
      <c r="BQ3" s="16" t="s">
        <v>165</v>
      </c>
      <c r="BR3" s="16" t="s">
        <v>168</v>
      </c>
      <c r="BS3" s="16" t="s">
        <v>170</v>
      </c>
      <c r="BT3" s="16" t="s">
        <v>171</v>
      </c>
      <c r="BU3" s="16" t="s">
        <v>173</v>
      </c>
      <c r="BV3" s="16" t="s">
        <v>175</v>
      </c>
      <c r="BW3" s="16" t="s">
        <v>177</v>
      </c>
      <c r="BX3" s="16" t="s">
        <v>193</v>
      </c>
      <c r="BY3" s="16" t="s">
        <v>197</v>
      </c>
      <c r="BZ3" s="16" t="s">
        <v>198</v>
      </c>
      <c r="CA3" s="16" t="s">
        <v>133</v>
      </c>
      <c r="CB3" s="16" t="s">
        <v>126</v>
      </c>
      <c r="CC3" s="16" t="s">
        <v>135</v>
      </c>
      <c r="CD3" s="16" t="s">
        <v>136</v>
      </c>
      <c r="CE3" s="16" t="s">
        <v>144</v>
      </c>
      <c r="CF3" s="16" t="s">
        <v>147</v>
      </c>
      <c r="CG3" s="16" t="s">
        <v>152</v>
      </c>
      <c r="CH3" s="16" t="s">
        <v>165</v>
      </c>
      <c r="CI3" s="16" t="s">
        <v>168</v>
      </c>
      <c r="CJ3" s="16" t="s">
        <v>170</v>
      </c>
      <c r="CK3" s="16" t="s">
        <v>171</v>
      </c>
      <c r="CL3" s="16" t="s">
        <v>173</v>
      </c>
      <c r="CM3" s="16" t="s">
        <v>175</v>
      </c>
      <c r="CN3" s="16" t="s">
        <v>177</v>
      </c>
      <c r="CO3" s="16" t="s">
        <v>193</v>
      </c>
      <c r="CP3" s="16" t="s">
        <v>197</v>
      </c>
      <c r="CQ3" s="16"/>
      <c r="CR3" s="16" t="s">
        <v>17</v>
      </c>
      <c r="CS3" s="16"/>
      <c r="CT3" s="21"/>
      <c r="CU3" s="21"/>
      <c r="CV3" s="21"/>
      <c r="CW3" s="21"/>
      <c r="DE3" s="4"/>
    </row>
    <row r="4" spans="1:116" ht="15" customHeight="1" thickBot="1" x14ac:dyDescent="0.3">
      <c r="A4" s="1"/>
      <c r="B4" s="23"/>
      <c r="C4" s="23"/>
      <c r="D4" s="23"/>
      <c r="E4" s="23"/>
      <c r="F4" s="1"/>
      <c r="G4" s="1"/>
      <c r="H4" s="1"/>
      <c r="I4" s="1"/>
      <c r="J4" s="1"/>
      <c r="K4" s="4"/>
      <c r="L4" s="480"/>
      <c r="M4" s="480"/>
      <c r="N4" s="480"/>
      <c r="O4" s="1"/>
      <c r="P4" s="1"/>
      <c r="Q4" s="2"/>
      <c r="R4" s="14" t="s">
        <v>18</v>
      </c>
      <c r="S4" s="24">
        <f>C8</f>
        <v>10800</v>
      </c>
      <c r="T4" s="24">
        <f>C17</f>
        <v>26010</v>
      </c>
      <c r="U4" s="24">
        <f>C8</f>
        <v>10800</v>
      </c>
      <c r="V4" s="24">
        <f>T4</f>
        <v>26010</v>
      </c>
      <c r="W4" s="24">
        <f>S4</f>
        <v>10800</v>
      </c>
      <c r="X4" s="24">
        <f>V4</f>
        <v>26010</v>
      </c>
      <c r="Y4" s="24">
        <f>T4</f>
        <v>26010</v>
      </c>
      <c r="Z4" s="24">
        <f>-J33</f>
        <v>0</v>
      </c>
      <c r="AA4" s="24">
        <f>-I33</f>
        <v>-40000</v>
      </c>
      <c r="AB4" s="24">
        <f>-J33</f>
        <v>0</v>
      </c>
      <c r="AC4" s="24">
        <f>-I33</f>
        <v>-40000</v>
      </c>
      <c r="AD4" s="24">
        <f>-J33</f>
        <v>0</v>
      </c>
      <c r="AE4" s="24">
        <f>-I33</f>
        <v>-40000</v>
      </c>
      <c r="AF4" s="24">
        <f>-I33</f>
        <v>-40000</v>
      </c>
      <c r="AG4" s="24">
        <f>T4</f>
        <v>26010</v>
      </c>
      <c r="AH4" s="24">
        <f>-J33</f>
        <v>0</v>
      </c>
      <c r="AI4" s="24">
        <f>-I33</f>
        <v>-40000</v>
      </c>
      <c r="AJ4" s="25"/>
      <c r="AK4" s="26"/>
      <c r="AL4" s="27"/>
      <c r="AM4" s="28"/>
      <c r="AN4" s="29"/>
      <c r="AO4" s="29"/>
      <c r="AP4" s="30" t="s">
        <v>19</v>
      </c>
      <c r="AQ4" s="30" t="s">
        <v>20</v>
      </c>
      <c r="AR4" s="31" t="s">
        <v>21</v>
      </c>
      <c r="AS4" s="32" t="s">
        <v>22</v>
      </c>
      <c r="AT4" s="25"/>
      <c r="AU4" s="25"/>
      <c r="AV4" s="33"/>
      <c r="AW4" s="33"/>
      <c r="AX4" s="33"/>
      <c r="AY4" s="33"/>
      <c r="AZ4" s="33"/>
      <c r="BA4" s="33"/>
      <c r="BB4" s="33"/>
      <c r="BC4" s="33"/>
      <c r="BD4" s="33"/>
      <c r="BE4" s="33"/>
      <c r="BF4" s="33"/>
      <c r="BG4" s="33"/>
      <c r="BH4" s="33"/>
      <c r="BI4" s="33"/>
      <c r="BJ4" s="33" t="s">
        <v>23</v>
      </c>
      <c r="BK4" s="33"/>
      <c r="BL4" s="33"/>
      <c r="BM4" s="33"/>
      <c r="BN4" s="33"/>
      <c r="BO4" s="33"/>
      <c r="BP4" s="33"/>
      <c r="BQ4" s="33"/>
      <c r="BR4" s="33"/>
      <c r="BS4" s="33"/>
      <c r="BT4" s="33"/>
      <c r="BU4" s="33"/>
      <c r="BV4" s="33"/>
      <c r="BW4" s="33"/>
      <c r="BX4" s="33"/>
      <c r="BY4" s="33"/>
      <c r="BZ4" s="33"/>
      <c r="CA4" s="33" t="s">
        <v>22</v>
      </c>
      <c r="CB4" s="33"/>
      <c r="CC4" s="33"/>
      <c r="CD4" s="33"/>
      <c r="CE4" s="33"/>
      <c r="CF4" s="33"/>
      <c r="CG4" s="33"/>
      <c r="CH4" s="33"/>
      <c r="CI4" s="33"/>
      <c r="CJ4" s="33"/>
      <c r="CK4" s="33"/>
      <c r="CL4" s="33"/>
      <c r="CM4" s="33"/>
      <c r="CN4" s="33"/>
      <c r="CO4" s="33"/>
      <c r="CP4" s="33"/>
      <c r="CQ4" s="33"/>
      <c r="CR4" s="33"/>
      <c r="CS4" s="33"/>
      <c r="CT4" s="33"/>
      <c r="CU4" s="33"/>
      <c r="CV4" s="33"/>
      <c r="CW4" s="33"/>
      <c r="CX4" s="4"/>
      <c r="CY4" s="4"/>
      <c r="CZ4" s="4"/>
      <c r="DA4" s="4"/>
      <c r="DB4" s="4"/>
      <c r="DC4" s="4"/>
      <c r="DD4" s="4"/>
      <c r="DE4" s="4"/>
    </row>
    <row r="5" spans="1:116" ht="15" customHeight="1" thickBot="1" x14ac:dyDescent="0.3">
      <c r="A5" s="34"/>
      <c r="B5" s="182" t="s">
        <v>122</v>
      </c>
      <c r="C5" s="183"/>
      <c r="D5" s="35"/>
      <c r="E5" s="487" t="s">
        <v>217</v>
      </c>
      <c r="F5" s="488"/>
      <c r="G5" s="488"/>
      <c r="H5" s="450" t="s">
        <v>254</v>
      </c>
      <c r="I5" s="452" t="s">
        <v>219</v>
      </c>
      <c r="J5" s="454" t="s">
        <v>220</v>
      </c>
      <c r="K5" s="4"/>
      <c r="L5" s="480"/>
      <c r="M5" s="480"/>
      <c r="N5" s="480"/>
      <c r="O5" s="23"/>
      <c r="P5" s="23"/>
      <c r="Q5" s="2"/>
      <c r="R5" s="14"/>
      <c r="S5" s="14"/>
      <c r="T5" s="14"/>
      <c r="U5" s="14"/>
      <c r="V5" s="14"/>
      <c r="W5" s="14"/>
      <c r="X5" s="14"/>
      <c r="Y5" s="14"/>
      <c r="Z5" s="14"/>
      <c r="AA5" s="14"/>
      <c r="AB5" s="14"/>
      <c r="AC5" s="14"/>
      <c r="AD5" s="14"/>
      <c r="AE5" s="14"/>
      <c r="AF5" s="14"/>
      <c r="AG5" s="14"/>
      <c r="AH5" s="14"/>
      <c r="AI5" s="14"/>
      <c r="AJ5" s="25"/>
      <c r="AK5" s="26"/>
      <c r="AL5" s="27"/>
      <c r="AM5" s="36"/>
      <c r="AN5" s="29"/>
      <c r="AO5" s="29"/>
      <c r="AP5" s="30"/>
      <c r="AQ5" s="30"/>
      <c r="AR5" s="31"/>
      <c r="AS5" s="32"/>
      <c r="AT5" s="25"/>
      <c r="AU5" s="25"/>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t="s">
        <v>25</v>
      </c>
      <c r="CT5" s="33" t="s">
        <v>26</v>
      </c>
      <c r="CU5" s="33" t="s">
        <v>27</v>
      </c>
      <c r="CV5" s="33" t="s">
        <v>2</v>
      </c>
      <c r="CW5" s="33" t="s">
        <v>3</v>
      </c>
      <c r="CX5" s="33" t="s">
        <v>4</v>
      </c>
      <c r="CY5" s="33" t="s">
        <v>13</v>
      </c>
      <c r="CZ5" s="33" t="s">
        <v>28</v>
      </c>
      <c r="DA5" s="33" t="s">
        <v>2</v>
      </c>
      <c r="DB5" s="33" t="s">
        <v>3</v>
      </c>
      <c r="DC5" s="33" t="s">
        <v>4</v>
      </c>
      <c r="DD5" s="33" t="s">
        <v>168</v>
      </c>
      <c r="DE5" s="4" t="s">
        <v>170</v>
      </c>
      <c r="DF5" s="4" t="s">
        <v>171</v>
      </c>
      <c r="DG5" s="4" t="s">
        <v>172</v>
      </c>
      <c r="DH5" s="4" t="s">
        <v>174</v>
      </c>
      <c r="DI5" s="4" t="s">
        <v>176</v>
      </c>
      <c r="DJ5" s="4" t="s">
        <v>192</v>
      </c>
      <c r="DK5" s="4" t="s">
        <v>196</v>
      </c>
      <c r="DL5" s="4" t="s">
        <v>198</v>
      </c>
    </row>
    <row r="6" spans="1:116" ht="15" customHeight="1" thickBot="1" x14ac:dyDescent="0.3">
      <c r="A6" s="23"/>
      <c r="B6" s="179" t="s">
        <v>33</v>
      </c>
      <c r="C6" s="47" t="s">
        <v>34</v>
      </c>
      <c r="D6" s="23"/>
      <c r="E6" s="440" t="s">
        <v>218</v>
      </c>
      <c r="F6" s="441"/>
      <c r="G6" s="348">
        <v>344000</v>
      </c>
      <c r="H6" s="451"/>
      <c r="I6" s="453"/>
      <c r="J6" s="455"/>
      <c r="K6" s="4"/>
      <c r="L6" s="296"/>
      <c r="M6" s="296"/>
      <c r="N6" s="296"/>
      <c r="O6" s="23"/>
      <c r="P6" s="23"/>
      <c r="Q6" s="2"/>
      <c r="R6" s="14" t="s">
        <v>31</v>
      </c>
      <c r="S6" s="24">
        <f>C9</f>
        <v>0</v>
      </c>
      <c r="T6" s="24">
        <f>C18</f>
        <v>0</v>
      </c>
      <c r="U6" s="24">
        <f>S6</f>
        <v>0</v>
      </c>
      <c r="V6" s="24">
        <f>T6</f>
        <v>0</v>
      </c>
      <c r="W6" s="24">
        <f>S6</f>
        <v>0</v>
      </c>
      <c r="X6" s="24">
        <f>V6</f>
        <v>0</v>
      </c>
      <c r="Y6" s="24">
        <f>T6</f>
        <v>0</v>
      </c>
      <c r="Z6" s="24">
        <f>J34</f>
        <v>100000</v>
      </c>
      <c r="AA6" s="24">
        <f>I34</f>
        <v>0</v>
      </c>
      <c r="AB6" s="24">
        <f>J34</f>
        <v>100000</v>
      </c>
      <c r="AC6" s="24">
        <f>I34</f>
        <v>0</v>
      </c>
      <c r="AD6" s="24">
        <f>J34</f>
        <v>100000</v>
      </c>
      <c r="AE6" s="24">
        <f>I34</f>
        <v>0</v>
      </c>
      <c r="AF6" s="24">
        <f>I34</f>
        <v>0</v>
      </c>
      <c r="AG6" s="24">
        <f>C18+G6</f>
        <v>344000</v>
      </c>
      <c r="AH6" s="24" t="e">
        <f>J34+#REF!</f>
        <v>#REF!</v>
      </c>
      <c r="AI6" s="24" t="e">
        <f>I34+#REF!</f>
        <v>#REF!</v>
      </c>
      <c r="AJ6" s="25"/>
      <c r="AK6" s="38">
        <v>0</v>
      </c>
      <c r="AL6" s="38">
        <v>42960</v>
      </c>
      <c r="AM6" s="39">
        <v>0.20050000000000001</v>
      </c>
      <c r="AN6" s="40">
        <v>-6.8599999999999994E-2</v>
      </c>
      <c r="AO6" s="40">
        <v>0.08</v>
      </c>
      <c r="AP6" s="41">
        <f t="shared" ref="AP6:AP15" si="0">AL6-AK6</f>
        <v>42960</v>
      </c>
      <c r="AQ6" s="41">
        <f t="shared" ref="AQ6:AQ15" si="1">AP6*AM6</f>
        <v>8613.4800000000014</v>
      </c>
      <c r="AR6" s="24">
        <f>AQ6</f>
        <v>8613.4800000000014</v>
      </c>
      <c r="AS6" s="42">
        <f>S12*AM6</f>
        <v>9864.6</v>
      </c>
      <c r="AT6" s="42">
        <f>T12*AM6</f>
        <v>44909.995000000003</v>
      </c>
      <c r="AU6" s="42">
        <f>U12*AM6</f>
        <v>9039.6948800000009</v>
      </c>
      <c r="AV6" s="43">
        <f>V12*AM6</f>
        <v>46562.564120000003</v>
      </c>
      <c r="AW6" s="43">
        <f>W12*AM6</f>
        <v>10278.432000000001</v>
      </c>
      <c r="AX6" s="43">
        <f>X12*AM6</f>
        <v>45323.827000000005</v>
      </c>
      <c r="AY6" s="43">
        <f>Y12*AM6</f>
        <v>45737.659</v>
      </c>
      <c r="AZ6" s="43">
        <f>Z12*AM6</f>
        <v>0</v>
      </c>
      <c r="BA6" s="43">
        <f>AA12*AM6</f>
        <v>8070.5874556812296</v>
      </c>
      <c r="BB6" s="43">
        <f>AB12*AM6</f>
        <v>0</v>
      </c>
      <c r="BC6" s="43">
        <f>AC12*AM6</f>
        <v>8020.0000000000009</v>
      </c>
      <c r="BD6" s="43">
        <f>AD12*AM6</f>
        <v>287.2229918227851</v>
      </c>
      <c r="BE6" s="43">
        <f>AE12*AM6</f>
        <v>8020.0000000000009</v>
      </c>
      <c r="BF6" s="43" t="e">
        <f>AF12*AM6</f>
        <v>#VALUE!</v>
      </c>
      <c r="BG6" s="43">
        <f>AG12*AM6</f>
        <v>44909.995000000003</v>
      </c>
      <c r="BH6" s="43">
        <f>AH12*AM6</f>
        <v>0</v>
      </c>
      <c r="BI6" s="43">
        <f>AI12*AM6</f>
        <v>8020.0000000000009</v>
      </c>
      <c r="BJ6" s="43">
        <f>S6*AO6</f>
        <v>0</v>
      </c>
      <c r="BK6" s="43">
        <f>T6*AO6</f>
        <v>0</v>
      </c>
      <c r="BL6" s="43">
        <f>U6*AO6</f>
        <v>0</v>
      </c>
      <c r="BM6" s="43">
        <f>V6*AO6</f>
        <v>0</v>
      </c>
      <c r="BN6" s="43">
        <f>W6*AO6</f>
        <v>0</v>
      </c>
      <c r="BO6" s="43">
        <f>X6*AO6</f>
        <v>0</v>
      </c>
      <c r="BP6" s="43">
        <f>Y6*AO6</f>
        <v>0</v>
      </c>
      <c r="BQ6" s="43">
        <f>Z6*AO6</f>
        <v>8000</v>
      </c>
      <c r="BR6" s="43">
        <f>AA6*AO6</f>
        <v>0</v>
      </c>
      <c r="BS6" s="43">
        <f>AB6*AO6</f>
        <v>8000</v>
      </c>
      <c r="BT6" s="43">
        <f>AC6*AO6</f>
        <v>0</v>
      </c>
      <c r="BU6" s="43">
        <f>AD6*AO6</f>
        <v>8000</v>
      </c>
      <c r="BV6" s="43">
        <f>AE6*AO6</f>
        <v>0</v>
      </c>
      <c r="BW6" s="43">
        <f>AF6*AO6</f>
        <v>0</v>
      </c>
      <c r="BX6" s="43">
        <f>AG6*AO6</f>
        <v>27520</v>
      </c>
      <c r="BY6" s="43" t="e">
        <f>AH6*AO6</f>
        <v>#REF!</v>
      </c>
      <c r="BZ6" s="43" t="e">
        <f>AI6*AO6</f>
        <v>#REF!</v>
      </c>
      <c r="CA6" s="44">
        <f>AN6*S8</f>
        <v>0</v>
      </c>
      <c r="CB6" s="44">
        <f>AN6*T8</f>
        <v>0</v>
      </c>
      <c r="CC6" s="44">
        <f>AN6*U8</f>
        <v>-474.32783999999992</v>
      </c>
      <c r="CD6" s="44">
        <f>AN6*V8</f>
        <v>0</v>
      </c>
      <c r="CE6" s="44">
        <f>AN6*W8</f>
        <v>-237.16391999999996</v>
      </c>
      <c r="CF6" s="44">
        <f>AN6*X8</f>
        <v>-237.16391999999996</v>
      </c>
      <c r="CG6" s="44">
        <f>AN6*Y8</f>
        <v>-474.32783999999992</v>
      </c>
      <c r="CH6" s="44">
        <f>AN6*Z8</f>
        <v>0</v>
      </c>
      <c r="CI6" s="44">
        <f>AN6*AA8</f>
        <v>-684.46706946478605</v>
      </c>
      <c r="CJ6" s="44">
        <f>AN6*AB8</f>
        <v>0</v>
      </c>
      <c r="CK6" s="44">
        <f>AN6*AC8</f>
        <v>0</v>
      </c>
      <c r="CL6" s="44">
        <f>AN6*AD8</f>
        <v>-198.51892605409358</v>
      </c>
      <c r="CM6" s="44">
        <f>AN6*AE8</f>
        <v>0</v>
      </c>
      <c r="CN6" s="44">
        <f>AN6*AF8</f>
        <v>0</v>
      </c>
      <c r="CO6" s="44">
        <f>AN6*AG8</f>
        <v>0</v>
      </c>
      <c r="CP6" s="44">
        <f>AN6*AH8</f>
        <v>0</v>
      </c>
      <c r="CQ6" s="44">
        <f>AN6*AI8</f>
        <v>-2.9540720440484566E-3</v>
      </c>
      <c r="CR6" s="33" t="s">
        <v>32</v>
      </c>
      <c r="CS6" s="33">
        <v>11635</v>
      </c>
      <c r="CT6" s="45">
        <v>0.15</v>
      </c>
      <c r="CU6" s="33">
        <f>CT6*CS6</f>
        <v>1745.25</v>
      </c>
      <c r="CV6" s="33">
        <f>IF(S13&gt;CS6,CU6,CU6-(CS6-S13)*CT6)</f>
        <v>1745.25</v>
      </c>
      <c r="CW6" s="33">
        <f>IF(T13&gt;CS6,CU6,CU6-(CS6-T13)*CT6)</f>
        <v>1745.25</v>
      </c>
      <c r="CX6" s="33">
        <f>IF(U13&gt;CS6,CU6,CU6-(CS6-U13)*CT6)</f>
        <v>1745.25</v>
      </c>
      <c r="CY6" s="33">
        <f>IF(V13&gt;CS6,CU6,CU6-(CS6-V13)*CT6)</f>
        <v>1745.25</v>
      </c>
      <c r="CZ6" s="33">
        <f>IF(W13&gt;CS6,CU6,CU6-(CS6-W13)*CT6)</f>
        <v>1745.25</v>
      </c>
      <c r="DA6" s="33">
        <f>IF(X13&gt;CS6,CU6,CU6-(CS6-X13)*CT6)</f>
        <v>1745.25</v>
      </c>
      <c r="DB6" s="33">
        <f>IF(Y13&gt;CS6,CU6,CU6-(CS6-Y13)*CT6)</f>
        <v>1745.25</v>
      </c>
      <c r="DC6" s="33">
        <f>IF(Z13&gt;CS6,CU6,CU6-(CS6-Z13)*CT6)</f>
        <v>1745.25</v>
      </c>
      <c r="DD6" s="33">
        <f>IF(AA13&gt;CS6,CU6,CU6-(CS6-AA13)*CT6)</f>
        <v>1745.25</v>
      </c>
      <c r="DE6" s="219">
        <f>IF(AB13&gt;CS6,CU6,CU6-(CS6-AB13)*CT6)</f>
        <v>1745.25</v>
      </c>
      <c r="DF6" s="219">
        <f>IF(AC13&gt;CS6,CU6,CU6-(CS6-AC13)*CT6)</f>
        <v>1745.25</v>
      </c>
      <c r="DG6" s="219">
        <f>IF(AD13&gt;CS6,CU6,CU6-(CS6-AD13)*CT6)</f>
        <v>1745.25</v>
      </c>
      <c r="DH6" s="219">
        <f>IF(AE13&gt;CS6,CU6,CU6-(CS6-AE13)*CT6)</f>
        <v>1745.25</v>
      </c>
      <c r="DI6" s="219" t="e">
        <f>IF(AF13&gt;CS6,CU6,CU6-(CS6-AF13)*CT6)</f>
        <v>#VALUE!</v>
      </c>
      <c r="DJ6" s="219">
        <f>IF(AG13&gt;CS6,CU6,CU6-(CS6-AG13)*CT6)</f>
        <v>1745.25</v>
      </c>
      <c r="DK6" s="219" t="e">
        <f>IF(AH13&gt;CS6,CU6,CU6-(CS6-AH13)*CT6)</f>
        <v>#REF!</v>
      </c>
      <c r="DL6" s="219" t="e">
        <f>IF(AI13&gt;CS6,CU6,CU6-(CS6-AI13)*CT6)</f>
        <v>#REF!</v>
      </c>
    </row>
    <row r="7" spans="1:116" ht="15" customHeight="1" thickBot="1" x14ac:dyDescent="0.3">
      <c r="A7" s="46"/>
      <c r="B7" s="179" t="s">
        <v>37</v>
      </c>
      <c r="C7" s="54">
        <v>60000</v>
      </c>
      <c r="D7" s="48" t="str">
        <f>C6</f>
        <v>ON</v>
      </c>
      <c r="E7" s="498" t="s">
        <v>212</v>
      </c>
      <c r="F7" s="499"/>
      <c r="G7" s="349">
        <v>2.3959999999999999E-2</v>
      </c>
      <c r="H7" s="355">
        <f>AVERAGE(J89:J93)</f>
        <v>7919.0785178316783</v>
      </c>
      <c r="I7" s="358">
        <f>AVERAGE(G89:G93)+AVERAGE(H89:H93)</f>
        <v>11821.09588327567</v>
      </c>
      <c r="J7" s="350">
        <f>AVERAGE(I89:I93)</f>
        <v>18412.921936566469</v>
      </c>
      <c r="K7" s="4"/>
      <c r="L7" s="492" t="s">
        <v>182</v>
      </c>
      <c r="M7" s="493"/>
      <c r="N7" s="494"/>
      <c r="O7" s="46"/>
      <c r="P7" s="46"/>
      <c r="Q7" s="2"/>
      <c r="R7" s="14" t="s">
        <v>35</v>
      </c>
      <c r="S7" s="14">
        <f t="shared" ref="S7:X7" si="2">1.16*S6</f>
        <v>0</v>
      </c>
      <c r="T7" s="14">
        <f t="shared" si="2"/>
        <v>0</v>
      </c>
      <c r="U7" s="14">
        <f t="shared" si="2"/>
        <v>0</v>
      </c>
      <c r="V7" s="14">
        <f t="shared" si="2"/>
        <v>0</v>
      </c>
      <c r="W7" s="14">
        <f t="shared" si="2"/>
        <v>0</v>
      </c>
      <c r="X7" s="14">
        <f t="shared" si="2"/>
        <v>0</v>
      </c>
      <c r="Y7" s="14">
        <f t="shared" ref="Y7:AH7" si="3">1.16*Y6</f>
        <v>0</v>
      </c>
      <c r="Z7" s="14">
        <f t="shared" si="3"/>
        <v>115999.99999999999</v>
      </c>
      <c r="AA7" s="14">
        <f t="shared" si="3"/>
        <v>0</v>
      </c>
      <c r="AB7" s="63">
        <f>1.16*AB6</f>
        <v>115999.99999999999</v>
      </c>
      <c r="AC7" s="14">
        <f t="shared" si="3"/>
        <v>0</v>
      </c>
      <c r="AD7" s="14">
        <f t="shared" si="3"/>
        <v>115999.99999999999</v>
      </c>
      <c r="AE7" s="14">
        <f t="shared" si="3"/>
        <v>0</v>
      </c>
      <c r="AF7" s="14">
        <f t="shared" si="3"/>
        <v>0</v>
      </c>
      <c r="AG7" s="14">
        <f t="shared" si="3"/>
        <v>399040</v>
      </c>
      <c r="AH7" s="14" t="e">
        <f t="shared" si="3"/>
        <v>#REF!</v>
      </c>
      <c r="AI7" s="14" t="e">
        <f t="shared" ref="AI7" si="4">1.16*AI6</f>
        <v>#REF!</v>
      </c>
      <c r="AJ7" s="2"/>
      <c r="AK7" s="52">
        <f>AL6+1</f>
        <v>42961</v>
      </c>
      <c r="AL7" s="53">
        <v>46605</v>
      </c>
      <c r="AM7" s="39">
        <v>0.24149999999999999</v>
      </c>
      <c r="AN7" s="40">
        <v>-1.2E-2</v>
      </c>
      <c r="AO7" s="40">
        <v>0.12759999999999999</v>
      </c>
      <c r="AP7" s="41">
        <f t="shared" si="0"/>
        <v>3644</v>
      </c>
      <c r="AQ7" s="41">
        <f t="shared" si="1"/>
        <v>880.02599999999995</v>
      </c>
      <c r="AR7" s="24">
        <f>AR6+AQ7</f>
        <v>9493.5060000000012</v>
      </c>
      <c r="AS7" s="42">
        <f>AR6+AM7*(S12-AK7)</f>
        <v>10120.198500000002</v>
      </c>
      <c r="AT7" s="42">
        <f>AR6+AM7*(T12-AK7)</f>
        <v>52331.983500000002</v>
      </c>
      <c r="AU7" s="42">
        <f>AR6+AM7*(U12-AK7)</f>
        <v>9126.6095400000013</v>
      </c>
      <c r="AV7" s="43">
        <f>AR6+AM7*(V12-AK7)</f>
        <v>54322.48446</v>
      </c>
      <c r="AW7" s="43">
        <f>AR6+AM7*(W12-AK7)</f>
        <v>10618.654500000001</v>
      </c>
      <c r="AX7" s="43">
        <f>AR6+AM7*(X12-AK7)</f>
        <v>52830.4395</v>
      </c>
      <c r="AY7" s="43">
        <f>AR6+AM7*(Y12-AK7)</f>
        <v>53328.895499999999</v>
      </c>
      <c r="AZ7" s="43">
        <f>AR6+AM7*(Z12-AK7)</f>
        <v>-1761.6014999999989</v>
      </c>
      <c r="BA7" s="43">
        <f>AR6+AM7*(AA12-AK7)</f>
        <v>7959.3305226783905</v>
      </c>
      <c r="BB7" s="43">
        <f>AR6+AM7*(AB12-AK7)</f>
        <v>-1761.6014999999989</v>
      </c>
      <c r="BC7" s="43">
        <f>AR6+AM7*(AC12-AK7)</f>
        <v>7898.3985000000011</v>
      </c>
      <c r="BD7" s="43">
        <f>AR6+AM7*(AD12-AK7)</f>
        <v>-1415.64462955011</v>
      </c>
      <c r="BE7" s="43">
        <f>AR6+AM7*(AE12-AK7)</f>
        <v>7898.3985000000011</v>
      </c>
      <c r="BF7" s="43" t="e">
        <f>AR6+AM7*(AF12-AK7)</f>
        <v>#VALUE!</v>
      </c>
      <c r="BG7" s="43">
        <f>AR6+AM7*(AG12-AK7)</f>
        <v>52331.983500000002</v>
      </c>
      <c r="BH7" s="43">
        <f>AR6+AM7*(AH12-AK7)</f>
        <v>-1761.6014999999989</v>
      </c>
      <c r="BI7" s="43">
        <f>AR6+AM7*(AI12-AK7)</f>
        <v>7898.3985000000011</v>
      </c>
      <c r="BJ7" s="43">
        <f>S6*AO7</f>
        <v>0</v>
      </c>
      <c r="BK7" s="43">
        <f>T6*AO7</f>
        <v>0</v>
      </c>
      <c r="BL7" s="43">
        <f>U6*AO7</f>
        <v>0</v>
      </c>
      <c r="BM7" s="43">
        <f>V6*AO7</f>
        <v>0</v>
      </c>
      <c r="BN7" s="43">
        <f>W6*AO7</f>
        <v>0</v>
      </c>
      <c r="BO7" s="43">
        <f>X6*AO7</f>
        <v>0</v>
      </c>
      <c r="BP7" s="43">
        <f>Y6*AO7</f>
        <v>0</v>
      </c>
      <c r="BQ7" s="43">
        <f>Z6*AO7</f>
        <v>12760</v>
      </c>
      <c r="BR7" s="43">
        <f>AA6*AO7</f>
        <v>0</v>
      </c>
      <c r="BS7" s="43">
        <f>AB6*AO7</f>
        <v>12760</v>
      </c>
      <c r="BT7" s="43">
        <f>AC6*AO7</f>
        <v>0</v>
      </c>
      <c r="BU7" s="43">
        <f>AD6*AO7</f>
        <v>12760</v>
      </c>
      <c r="BV7" s="43">
        <f>AE6*AO7</f>
        <v>0</v>
      </c>
      <c r="BW7" s="43">
        <f>AF6*AO7</f>
        <v>0</v>
      </c>
      <c r="BX7" s="43">
        <f>AG6*AO7</f>
        <v>43894.399999999994</v>
      </c>
      <c r="BY7" s="43" t="e">
        <f>AH6*AO7</f>
        <v>#REF!</v>
      </c>
      <c r="BZ7" s="43" t="e">
        <f>AI6*AO7</f>
        <v>#REF!</v>
      </c>
      <c r="CA7" s="44">
        <f>AN7*S8</f>
        <v>0</v>
      </c>
      <c r="CB7" s="44">
        <f>AN7*T8</f>
        <v>0</v>
      </c>
      <c r="CC7" s="44">
        <f>AN7*U8</f>
        <v>-82.972799999999992</v>
      </c>
      <c r="CD7" s="44">
        <f>AN7*V8</f>
        <v>0</v>
      </c>
      <c r="CE7" s="44">
        <f>AN7*W8</f>
        <v>-41.486399999999996</v>
      </c>
      <c r="CF7" s="44">
        <f>AN7*X8</f>
        <v>-41.486399999999996</v>
      </c>
      <c r="CG7" s="44">
        <f>AN7*Y8</f>
        <v>-82.972799999999992</v>
      </c>
      <c r="CH7" s="44">
        <f>AN7*Z8</f>
        <v>0</v>
      </c>
      <c r="CI7" s="44">
        <f>AN7*AA8</f>
        <v>-119.73184888596842</v>
      </c>
      <c r="CJ7" s="44">
        <f>AN7*AB8</f>
        <v>0</v>
      </c>
      <c r="CK7" s="44">
        <f>AN7*AC8</f>
        <v>0</v>
      </c>
      <c r="CL7" s="44">
        <f>AN7*AD8</f>
        <v>-34.726342749987218</v>
      </c>
      <c r="CM7" s="44">
        <f>AN7*AE8</f>
        <v>0</v>
      </c>
      <c r="CN7" s="44">
        <f>AN7*AF8</f>
        <v>0</v>
      </c>
      <c r="CO7" s="44">
        <f>AN7*AG8</f>
        <v>0</v>
      </c>
      <c r="CP7" s="44">
        <f>AN7*AH8</f>
        <v>0</v>
      </c>
      <c r="CQ7" s="44">
        <f>AN7*AI8</f>
        <v>-5.1674729633500701E-4</v>
      </c>
      <c r="CR7" s="33" t="s">
        <v>36</v>
      </c>
      <c r="CS7" s="33">
        <v>10171</v>
      </c>
      <c r="CT7" s="45">
        <v>5.0500000000000003E-2</v>
      </c>
      <c r="CU7" s="33">
        <f>CT7*CS7</f>
        <v>513.63549999999998</v>
      </c>
      <c r="CV7" s="33">
        <f>IF(S13&gt;CS7,CU7,CU7-(CS7-S13)*CT7)</f>
        <v>513.63549999999998</v>
      </c>
      <c r="CW7" s="33">
        <f>IF(T13&gt;CS7,CU7,CU7-(CS7-T13)*CT7)</f>
        <v>513.63549999999998</v>
      </c>
      <c r="CX7" s="33">
        <f>IF(U13&gt;CS7,CU7,CU7-(CS7-U13)*CT7)</f>
        <v>513.63549999999998</v>
      </c>
      <c r="CY7" s="33">
        <f>IF(V13&gt;CS7,CU7,CU7-(CS7-V13)*CT7)</f>
        <v>513.63549999999998</v>
      </c>
      <c r="CZ7" s="33">
        <f>IF(W13&gt;CS7,CU7,CU7-(CS7-W13)*CT7)</f>
        <v>513.63549999999998</v>
      </c>
      <c r="DA7" s="33">
        <f>IF(X13&gt;CS7,CU7,CU7-(CS7-X13)*CT7)</f>
        <v>513.63549999999998</v>
      </c>
      <c r="DB7" s="33">
        <f>IF(Y13&gt;CS7,CU7,CU7-(CS7-Y13)*CT7)</f>
        <v>513.63549999999998</v>
      </c>
      <c r="DC7" s="33">
        <f>IF(Z13&gt;CS7,CU7,CU7-(CS7-Z13)*CT7)</f>
        <v>513.63549999999998</v>
      </c>
      <c r="DD7" s="33">
        <f>IF(AA13&gt;CS7,CU7,CU7-(CS7-AA13)*CT7)</f>
        <v>513.63549999999998</v>
      </c>
      <c r="DE7" s="219">
        <f>IF(AB13&gt;CS7,CU7,CU7-(CS7-AB13)*CT7)</f>
        <v>513.63549999999998</v>
      </c>
      <c r="DF7" s="219">
        <f>IF(AC13&gt;CS7,CU7,CU7-(CS7-AC13)*CT7)</f>
        <v>513.63549999999998</v>
      </c>
      <c r="DG7" s="219">
        <f>IF(AD13&gt;CS7,CU7,CU7-(CS7-AD13)*CT7)</f>
        <v>513.63549999999998</v>
      </c>
      <c r="DH7" s="219">
        <f>IF(AE13&gt;CS7,CU7,CU7-(CS7-AE13)*CT7)</f>
        <v>513.63549999999998</v>
      </c>
      <c r="DI7" s="219" t="e">
        <f>IF(AF13&gt;CS7,CU7,CU7-(CS7-AF13)*CT7)</f>
        <v>#VALUE!</v>
      </c>
      <c r="DJ7" s="219">
        <f>IF(AG13&gt;CS7,CU7,CU7-(CS7-AG13)*CT7)</f>
        <v>513.63549999999998</v>
      </c>
      <c r="DK7" s="219" t="e">
        <f>IF(AH13&gt;CS7,CU7,CU7-(CS7-AH13)*CT7)</f>
        <v>#REF!</v>
      </c>
      <c r="DL7" s="219" t="e">
        <f>IF(AI13&gt;CS7,CU7,CU7-(CS7-AI13)*CT7)</f>
        <v>#REF!</v>
      </c>
    </row>
    <row r="8" spans="1:116" ht="15" customHeight="1" thickBot="1" x14ac:dyDescent="0.3">
      <c r="A8" s="46"/>
      <c r="B8" s="179" t="s">
        <v>18</v>
      </c>
      <c r="C8" s="242">
        <v>10800</v>
      </c>
      <c r="D8" s="4"/>
      <c r="E8" s="440" t="s">
        <v>213</v>
      </c>
      <c r="F8" s="441"/>
      <c r="G8" s="396">
        <v>0.05</v>
      </c>
      <c r="H8" s="356">
        <f>AVERAGE(J94:J98)</f>
        <v>14937.854264941934</v>
      </c>
      <c r="I8" s="359">
        <f>AVERAGE(G94:G98)+AVERAGE(H94:H98)</f>
        <v>13523.449409426408</v>
      </c>
      <c r="J8" s="351">
        <f>AVERAGE(I94:I98)</f>
        <v>21064.562943031793</v>
      </c>
      <c r="K8" s="4"/>
      <c r="L8" s="495"/>
      <c r="M8" s="496"/>
      <c r="N8" s="497"/>
      <c r="O8" s="46"/>
      <c r="P8" s="46"/>
      <c r="Q8" s="2"/>
      <c r="R8" s="14" t="s">
        <v>38</v>
      </c>
      <c r="S8" s="24">
        <f>C10</f>
        <v>0</v>
      </c>
      <c r="T8" s="24">
        <f>C19</f>
        <v>0</v>
      </c>
      <c r="U8" s="187">
        <f>S8+G16*G6</f>
        <v>6914.4</v>
      </c>
      <c r="V8" s="24">
        <f>T8</f>
        <v>0</v>
      </c>
      <c r="W8" s="187">
        <f>C10+0.5*G16*G6</f>
        <v>3457.2</v>
      </c>
      <c r="X8" s="187">
        <f>C19+0.5*G16*G6</f>
        <v>3457.2</v>
      </c>
      <c r="Y8" s="187">
        <f>C19+G16*G6</f>
        <v>6914.4</v>
      </c>
      <c r="Z8" s="187">
        <v>0</v>
      </c>
      <c r="AA8" s="187">
        <f>J39</f>
        <v>9977.6540738307012</v>
      </c>
      <c r="AB8" s="187">
        <f>0*0.5</f>
        <v>0</v>
      </c>
      <c r="AC8" s="187">
        <f>0*0.5</f>
        <v>0</v>
      </c>
      <c r="AD8" s="187">
        <f>I39</f>
        <v>2893.8618958322681</v>
      </c>
      <c r="AE8" s="187">
        <f>I39*0</f>
        <v>0</v>
      </c>
      <c r="AF8" s="187">
        <f>J57</f>
        <v>0</v>
      </c>
      <c r="AG8" s="187">
        <f>C19</f>
        <v>0</v>
      </c>
      <c r="AH8" s="187">
        <f>D19</f>
        <v>0</v>
      </c>
      <c r="AI8" s="187">
        <f>J83</f>
        <v>4.3062274694583916E-2</v>
      </c>
      <c r="AJ8" s="25"/>
      <c r="AK8" s="52">
        <f t="shared" ref="AK8:AK16" si="5">AL7+1</f>
        <v>46606</v>
      </c>
      <c r="AL8" s="53">
        <v>75657</v>
      </c>
      <c r="AM8" s="39">
        <v>0.29649999999999999</v>
      </c>
      <c r="AN8" s="40">
        <v>6.3899999999999998E-2</v>
      </c>
      <c r="AO8" s="40">
        <v>0.19139999999999999</v>
      </c>
      <c r="AP8" s="41">
        <f t="shared" si="0"/>
        <v>29051</v>
      </c>
      <c r="AQ8" s="41">
        <f t="shared" si="1"/>
        <v>8613.6214999999993</v>
      </c>
      <c r="AR8" s="24">
        <f t="shared" ref="AR8:AR15" si="6">AR7+AQ8</f>
        <v>18107.127500000002</v>
      </c>
      <c r="AS8" s="42">
        <f>AR7+AM8*(S12-AK8)</f>
        <v>10262.627</v>
      </c>
      <c r="AT8" s="42">
        <f>AR7+AM8*(T12-AK8)</f>
        <v>62087.862000000001</v>
      </c>
      <c r="AU8" s="42">
        <f>AR7+AM8*(U12-AK8)</f>
        <v>9042.7548400000014</v>
      </c>
      <c r="AV8" s="43">
        <f>AR7+AM8*(V12-AK8)</f>
        <v>64531.686159999997</v>
      </c>
      <c r="AW8" s="43">
        <f>AR7+AM8*(W12-AK8)</f>
        <v>10874.603000000001</v>
      </c>
      <c r="AX8" s="43">
        <f>AS7+AM8*(X12-AK8)</f>
        <v>63326.530499999993</v>
      </c>
      <c r="AY8" s="43">
        <f>AR7+AM8*(Y12-AK8)</f>
        <v>63311.813999999998</v>
      </c>
      <c r="AZ8" s="43">
        <f>AR7+AM8*(Z12-AK8)</f>
        <v>-4325.1729999999989</v>
      </c>
      <c r="BA8" s="43">
        <f>AR7+AM8*(AA12-AK8)</f>
        <v>7609.6358808453106</v>
      </c>
      <c r="BB8" s="43">
        <f>AR7+AM8*(AB12-AK8)</f>
        <v>-4325.1729999999989</v>
      </c>
      <c r="BC8" s="43">
        <f>AR7+AM8*(AC12-AK8)</f>
        <v>7534.8270000000011</v>
      </c>
      <c r="BD8" s="43">
        <f>AR7+AM8*(AD12-AK8)</f>
        <v>-3900.4267801722872</v>
      </c>
      <c r="BE8" s="43">
        <f>AR7+AM8*(AE12-AK8)</f>
        <v>7534.8270000000011</v>
      </c>
      <c r="BF8" s="43" t="e">
        <f>AR7+AM8*(AF12-AK8)</f>
        <v>#VALUE!</v>
      </c>
      <c r="BG8" s="43">
        <f>AR7+AM8*(AG12-AK8)</f>
        <v>62087.862000000001</v>
      </c>
      <c r="BH8" s="43">
        <f>AR7+AM8*(AH12-AK8)</f>
        <v>-4325.1729999999989</v>
      </c>
      <c r="BI8" s="43">
        <f>AR7+AM8*(AI12-AK8)</f>
        <v>7534.8270000000011</v>
      </c>
      <c r="BJ8" s="43">
        <f>S6*AO8</f>
        <v>0</v>
      </c>
      <c r="BK8" s="43">
        <f>T6*AO8</f>
        <v>0</v>
      </c>
      <c r="BL8" s="43">
        <f>U6*AO8</f>
        <v>0</v>
      </c>
      <c r="BM8" s="43">
        <f>V6*AO8</f>
        <v>0</v>
      </c>
      <c r="BN8" s="43">
        <f>W6*AO8</f>
        <v>0</v>
      </c>
      <c r="BO8" s="43">
        <f>X6*AO8</f>
        <v>0</v>
      </c>
      <c r="BP8" s="43">
        <f>Y6*AO8</f>
        <v>0</v>
      </c>
      <c r="BQ8" s="43">
        <f>Z6*AO8</f>
        <v>19140</v>
      </c>
      <c r="BR8" s="43">
        <f>AA6*AO8</f>
        <v>0</v>
      </c>
      <c r="BS8" s="43">
        <f>AB6*AO8</f>
        <v>19140</v>
      </c>
      <c r="BT8" s="43">
        <f>AC6*AO8</f>
        <v>0</v>
      </c>
      <c r="BU8" s="43">
        <f>AD6*AO8</f>
        <v>19140</v>
      </c>
      <c r="BV8" s="43">
        <f>AE6*AO8</f>
        <v>0</v>
      </c>
      <c r="BW8" s="43">
        <f>AF6*AO8</f>
        <v>0</v>
      </c>
      <c r="BX8" s="43">
        <f>AG6*AO8</f>
        <v>65841.599999999991</v>
      </c>
      <c r="BY8" s="43" t="e">
        <f>AH6*AO8</f>
        <v>#REF!</v>
      </c>
      <c r="BZ8" s="43" t="e">
        <f>AI6*AO8</f>
        <v>#REF!</v>
      </c>
      <c r="CA8" s="44">
        <f>AN8*S8</f>
        <v>0</v>
      </c>
      <c r="CB8" s="44">
        <f>AN8*T8</f>
        <v>0</v>
      </c>
      <c r="CC8" s="44">
        <f>AN8*U8</f>
        <v>441.83015999999998</v>
      </c>
      <c r="CD8" s="44">
        <f>AN8*V8</f>
        <v>0</v>
      </c>
      <c r="CE8" s="44">
        <f>AN8*W8</f>
        <v>220.91507999999999</v>
      </c>
      <c r="CF8" s="44">
        <f>AN8*X8</f>
        <v>220.91507999999999</v>
      </c>
      <c r="CG8" s="44">
        <f>AN8*Y8</f>
        <v>441.83015999999998</v>
      </c>
      <c r="CH8" s="44">
        <f>AN8*Z8</f>
        <v>0</v>
      </c>
      <c r="CI8" s="44">
        <f>AN8*AA8</f>
        <v>637.57209531778176</v>
      </c>
      <c r="CJ8" s="44">
        <f>AN8*AB8</f>
        <v>0</v>
      </c>
      <c r="CK8" s="44">
        <f>AN8*AC8</f>
        <v>0</v>
      </c>
      <c r="CL8" s="44">
        <f>AN8*AD8</f>
        <v>184.91777514368192</v>
      </c>
      <c r="CM8" s="44">
        <f>AN8*AE8</f>
        <v>0</v>
      </c>
      <c r="CN8" s="44">
        <f>AN8*AF8</f>
        <v>0</v>
      </c>
      <c r="CO8" s="44">
        <f>AN8*AG8</f>
        <v>0</v>
      </c>
      <c r="CP8" s="44">
        <f>AN8*AH8</f>
        <v>0</v>
      </c>
      <c r="CQ8" s="44">
        <f>AN8*AI8</f>
        <v>2.751679352983912E-3</v>
      </c>
      <c r="CR8" s="33"/>
      <c r="CS8" s="33"/>
      <c r="CT8" s="33"/>
      <c r="CU8" s="33"/>
      <c r="CV8" s="33"/>
      <c r="CW8" s="33"/>
      <c r="CX8" s="4"/>
      <c r="CY8" s="4"/>
      <c r="CZ8" s="4"/>
      <c r="DA8" s="4"/>
      <c r="DB8" s="4"/>
      <c r="DC8" s="4"/>
      <c r="DD8" s="4"/>
      <c r="DE8" s="4"/>
    </row>
    <row r="9" spans="1:116" ht="15" customHeight="1" thickBot="1" x14ac:dyDescent="0.3">
      <c r="A9" s="46"/>
      <c r="B9" s="179" t="s">
        <v>31</v>
      </c>
      <c r="C9" s="243">
        <v>0</v>
      </c>
      <c r="D9" s="4"/>
      <c r="E9" s="440" t="s">
        <v>214</v>
      </c>
      <c r="F9" s="441"/>
      <c r="G9" s="396">
        <v>0.06</v>
      </c>
      <c r="H9" s="356">
        <f>AVERAGE(J99:J103)</f>
        <v>16203.164555578307</v>
      </c>
      <c r="I9" s="359">
        <f>AVERAGE(G99:G103)+AVERAGE(H99:H103)</f>
        <v>14535.314245263145</v>
      </c>
      <c r="J9" s="351">
        <f>AVERAGE(I99:I103)</f>
        <v>22640.676394490882</v>
      </c>
      <c r="K9" s="4"/>
      <c r="L9" s="459" t="s">
        <v>140</v>
      </c>
      <c r="M9" s="460"/>
      <c r="N9" s="461"/>
      <c r="O9" s="46"/>
      <c r="P9" s="46"/>
      <c r="Q9" s="62" t="e">
        <f>#REF!/B63</f>
        <v>#REF!</v>
      </c>
      <c r="R9" s="14" t="s">
        <v>39</v>
      </c>
      <c r="S9" s="63">
        <f t="shared" ref="S9:AA9" si="7">1.38*S8</f>
        <v>0</v>
      </c>
      <c r="T9" s="14">
        <f t="shared" si="7"/>
        <v>0</v>
      </c>
      <c r="U9" s="63">
        <f>1.38*U8</f>
        <v>9541.8719999999994</v>
      </c>
      <c r="V9" s="14">
        <f t="shared" si="7"/>
        <v>0</v>
      </c>
      <c r="W9" s="14">
        <f t="shared" si="7"/>
        <v>4770.9359999999997</v>
      </c>
      <c r="X9" s="14">
        <f t="shared" si="7"/>
        <v>4770.9359999999997</v>
      </c>
      <c r="Y9" s="14">
        <f t="shared" si="7"/>
        <v>9541.8719999999994</v>
      </c>
      <c r="Z9" s="14">
        <f t="shared" si="7"/>
        <v>0</v>
      </c>
      <c r="AA9" s="14">
        <f t="shared" si="7"/>
        <v>13769.162621886366</v>
      </c>
      <c r="AB9" s="63">
        <f t="shared" ref="AB9:AH9" si="8">1.38*AB8</f>
        <v>0</v>
      </c>
      <c r="AC9" s="63">
        <f t="shared" si="8"/>
        <v>0</v>
      </c>
      <c r="AD9" s="63">
        <f t="shared" si="8"/>
        <v>3993.5294162485297</v>
      </c>
      <c r="AE9" s="63">
        <f t="shared" si="8"/>
        <v>0</v>
      </c>
      <c r="AF9" s="63">
        <f t="shared" si="8"/>
        <v>0</v>
      </c>
      <c r="AG9" s="63">
        <f t="shared" si="8"/>
        <v>0</v>
      </c>
      <c r="AH9" s="63">
        <f t="shared" si="8"/>
        <v>0</v>
      </c>
      <c r="AI9" s="63">
        <f t="shared" ref="AI9" si="9">1.38*AI8</f>
        <v>5.9425939078525801E-2</v>
      </c>
      <c r="AJ9" s="25"/>
      <c r="AK9" s="52">
        <f t="shared" si="5"/>
        <v>75658</v>
      </c>
      <c r="AL9" s="53">
        <v>85923</v>
      </c>
      <c r="AM9" s="39">
        <v>0.31480000000000002</v>
      </c>
      <c r="AN9" s="40">
        <v>8.9200000000000002E-2</v>
      </c>
      <c r="AO9" s="40">
        <v>0.21260000000000001</v>
      </c>
      <c r="AP9" s="41">
        <f t="shared" si="0"/>
        <v>10265</v>
      </c>
      <c r="AQ9" s="41">
        <f t="shared" si="1"/>
        <v>3231.422</v>
      </c>
      <c r="AR9" s="24">
        <f>AR8+AQ9</f>
        <v>21338.549500000001</v>
      </c>
      <c r="AS9" s="42">
        <f>AR8+AM9*(S12-AK9)</f>
        <v>9778.1491000000024</v>
      </c>
      <c r="AT9" s="42">
        <f>AR8+AM9*(T12-AK9)</f>
        <v>64802.041100000009</v>
      </c>
      <c r="AU9" s="42">
        <f>AR8+AM9*(U12-AK9)</f>
        <v>8482.9863480000022</v>
      </c>
      <c r="AV9" s="43">
        <f>AR8+AM9*(V12-AK9)</f>
        <v>67396.698252000002</v>
      </c>
      <c r="AW9" s="43">
        <f>AR8+AM9*(W12-AK9)</f>
        <v>10427.896300000002</v>
      </c>
      <c r="AX9" s="43">
        <f>AR8+AM9*(X12-AK9)</f>
        <v>65451.788300000007</v>
      </c>
      <c r="AY9" s="43">
        <f>AR8+AM9*(Y12-AK9)</f>
        <v>66101.535499999998</v>
      </c>
      <c r="AZ9" s="43">
        <f>AR8+AM9*(Z12-AK9)</f>
        <v>-5710.0109000000011</v>
      </c>
      <c r="BA9" s="43">
        <f>AR8+AM9*(AA12-AK9)</f>
        <v>6961.4151900172146</v>
      </c>
      <c r="BB9" s="43">
        <f>AR8+AM9*(AB12-AK9)</f>
        <v>-5710.0109000000011</v>
      </c>
      <c r="BC9" s="43">
        <f>AR8+AM9*(AC12-AK9)</f>
        <v>6881.9891000000007</v>
      </c>
      <c r="BD9" s="43">
        <f>AR8+AM9*(AD12-AK9)</f>
        <v>-5259.0493148338537</v>
      </c>
      <c r="BE9" s="43">
        <f>AR8+AM9*(AE12-AK9)</f>
        <v>6881.9891000000007</v>
      </c>
      <c r="BF9" s="43" t="e">
        <f>AR8+AM9*(AF12-AK9)</f>
        <v>#VALUE!</v>
      </c>
      <c r="BG9" s="43">
        <f>AR8+AM9*(AG12-AK9)</f>
        <v>64802.041100000009</v>
      </c>
      <c r="BH9" s="43">
        <f>AR8+AM9*(AH12-AK9)</f>
        <v>-5710.0109000000011</v>
      </c>
      <c r="BI9" s="43">
        <f>AR8+AM9*(AI12-AK9)</f>
        <v>6881.9891000000007</v>
      </c>
      <c r="BJ9" s="43">
        <f>S6*AO9</f>
        <v>0</v>
      </c>
      <c r="BK9" s="43">
        <f>T6*AO9</f>
        <v>0</v>
      </c>
      <c r="BL9" s="43">
        <f>U6*AO9</f>
        <v>0</v>
      </c>
      <c r="BM9" s="43">
        <f>V6*AO9</f>
        <v>0</v>
      </c>
      <c r="BN9" s="43">
        <f>W6*AO9</f>
        <v>0</v>
      </c>
      <c r="BO9" s="43">
        <f>X6*AP9</f>
        <v>0</v>
      </c>
      <c r="BP9" s="43">
        <f>Y6*AO9</f>
        <v>0</v>
      </c>
      <c r="BQ9" s="43">
        <f>Z6*AO9</f>
        <v>21260</v>
      </c>
      <c r="BR9" s="43">
        <f>AA6*AO9</f>
        <v>0</v>
      </c>
      <c r="BS9" s="43">
        <f>AB6*AO9</f>
        <v>21260</v>
      </c>
      <c r="BT9" s="43">
        <f>AC6*AO9</f>
        <v>0</v>
      </c>
      <c r="BU9" s="43">
        <f>AD6*AO9</f>
        <v>21260</v>
      </c>
      <c r="BV9" s="43">
        <f>AE6*AO9</f>
        <v>0</v>
      </c>
      <c r="BW9" s="43">
        <f>AF6*AO9</f>
        <v>0</v>
      </c>
      <c r="BX9" s="43">
        <f>AG6*AO9</f>
        <v>73134.400000000009</v>
      </c>
      <c r="BY9" s="43" t="e">
        <f>AH6*AO9</f>
        <v>#REF!</v>
      </c>
      <c r="BZ9" s="43" t="e">
        <f>AI6*AO9</f>
        <v>#REF!</v>
      </c>
      <c r="CA9" s="44">
        <f>AN9*S8</f>
        <v>0</v>
      </c>
      <c r="CB9" s="44">
        <f>AN9*T8</f>
        <v>0</v>
      </c>
      <c r="CC9" s="44">
        <f>AN9*U8</f>
        <v>616.76447999999993</v>
      </c>
      <c r="CD9" s="44">
        <f>AN9*V8</f>
        <v>0</v>
      </c>
      <c r="CE9" s="44">
        <f>AN9*W8</f>
        <v>308.38223999999997</v>
      </c>
      <c r="CF9" s="44">
        <f>AN9*X8</f>
        <v>308.38223999999997</v>
      </c>
      <c r="CG9" s="44">
        <f>AN9*Y8</f>
        <v>616.76447999999993</v>
      </c>
      <c r="CH9" s="44">
        <f>AN9*Z8</f>
        <v>0</v>
      </c>
      <c r="CI9" s="44">
        <f>AN9*AA8</f>
        <v>890.00674338569854</v>
      </c>
      <c r="CJ9" s="44">
        <f>AN9*AB8</f>
        <v>0</v>
      </c>
      <c r="CK9" s="44">
        <f>AN9*AC8</f>
        <v>0</v>
      </c>
      <c r="CL9" s="44">
        <f>AN9*AD8</f>
        <v>258.13248110823832</v>
      </c>
      <c r="CM9" s="44">
        <f>AN9*AE8</f>
        <v>0</v>
      </c>
      <c r="CN9" s="44">
        <f>AN9*AF8</f>
        <v>0</v>
      </c>
      <c r="CO9" s="44">
        <f>AN9*AG8</f>
        <v>0</v>
      </c>
      <c r="CP9" s="44">
        <f>AN9*AH8</f>
        <v>0</v>
      </c>
      <c r="CQ9" s="44">
        <f>AN9*AI8</f>
        <v>3.8411549027568851E-3</v>
      </c>
      <c r="CR9" s="33"/>
      <c r="CS9" s="33"/>
      <c r="CT9" s="33"/>
      <c r="CU9" s="33"/>
      <c r="CV9" s="33"/>
      <c r="CW9" s="33"/>
      <c r="CX9" s="4"/>
      <c r="CY9" s="4"/>
      <c r="CZ9" s="4"/>
      <c r="DA9" s="4"/>
      <c r="DB9" s="4"/>
      <c r="DC9" s="4"/>
      <c r="DD9" s="4"/>
      <c r="DE9" s="4"/>
    </row>
    <row r="10" spans="1:116" ht="15" customHeight="1" thickBot="1" x14ac:dyDescent="0.3">
      <c r="A10" s="23"/>
      <c r="B10" s="179" t="s">
        <v>38</v>
      </c>
      <c r="C10" s="244">
        <v>0</v>
      </c>
      <c r="D10" s="4"/>
      <c r="E10" s="440" t="s">
        <v>215</v>
      </c>
      <c r="F10" s="441"/>
      <c r="G10" s="396">
        <v>0.06</v>
      </c>
      <c r="H10" s="356">
        <f>AVERAGE(J104:J108)</f>
        <v>14646.377415759862</v>
      </c>
      <c r="I10" s="359">
        <f>AVERAGE(G104:G108)+AVERAGE(H104:H108)</f>
        <v>15486.779880392873</v>
      </c>
      <c r="J10" s="351">
        <f>AVERAGE(I104:I108)</f>
        <v>24122.710094069895</v>
      </c>
      <c r="K10" s="4"/>
      <c r="L10" s="456" t="s">
        <v>234</v>
      </c>
      <c r="M10" s="457"/>
      <c r="N10" s="458"/>
      <c r="O10" s="346"/>
      <c r="P10" s="346"/>
      <c r="Q10" s="2"/>
      <c r="R10" s="14" t="s">
        <v>40</v>
      </c>
      <c r="S10" s="58">
        <v>0</v>
      </c>
      <c r="T10" s="58">
        <v>0</v>
      </c>
      <c r="U10" s="58">
        <v>0</v>
      </c>
      <c r="V10" s="58">
        <v>0</v>
      </c>
      <c r="W10" s="58">
        <v>0</v>
      </c>
      <c r="X10" s="58">
        <v>0</v>
      </c>
      <c r="Y10" s="58">
        <v>0</v>
      </c>
      <c r="Z10" s="58">
        <v>0</v>
      </c>
      <c r="AA10" s="24">
        <f>J40</f>
        <v>504.6130242516665</v>
      </c>
      <c r="AB10" s="24">
        <f>0*0.5</f>
        <v>0</v>
      </c>
      <c r="AC10" s="24">
        <f>0*0.5</f>
        <v>0</v>
      </c>
      <c r="AD10" s="24">
        <f>I40</f>
        <v>2865.0672501025942</v>
      </c>
      <c r="AE10" s="24">
        <f>I40*0</f>
        <v>0</v>
      </c>
      <c r="AF10" s="24" t="str">
        <f>J58</f>
        <v>Total Drag</v>
      </c>
      <c r="AG10" s="24">
        <v>0</v>
      </c>
      <c r="AH10" s="24">
        <v>0</v>
      </c>
      <c r="AI10" s="24"/>
      <c r="AJ10" s="25"/>
      <c r="AK10" s="52">
        <f t="shared" si="5"/>
        <v>85924</v>
      </c>
      <c r="AL10" s="53">
        <v>89131</v>
      </c>
      <c r="AM10" s="39">
        <v>0.33889999999999998</v>
      </c>
      <c r="AN10" s="40">
        <v>0.12239999999999999</v>
      </c>
      <c r="AO10" s="40">
        <v>0.24060000000000001</v>
      </c>
      <c r="AP10" s="41">
        <f t="shared" si="0"/>
        <v>3207</v>
      </c>
      <c r="AQ10" s="41">
        <f t="shared" si="1"/>
        <v>1086.8523</v>
      </c>
      <c r="AR10" s="24">
        <f t="shared" si="6"/>
        <v>22425.4018</v>
      </c>
      <c r="AS10" s="42">
        <f>AR9+AM10*(S12-AK10)</f>
        <v>8892.7859000000026</v>
      </c>
      <c r="AT10" s="42">
        <f>AR9+AM10*(T12-AK10)</f>
        <v>68129.116899999994</v>
      </c>
      <c r="AU10" s="42">
        <f>AR9+AM10*(U12-AK10)</f>
        <v>7498.4699640000017</v>
      </c>
      <c r="AV10" s="43">
        <f>AR9+AM10*(V12-AK10)</f>
        <v>70922.412035999994</v>
      </c>
      <c r="AW10" s="43">
        <f>AR9+AM10*(W12-AK10)</f>
        <v>9592.2755000000016</v>
      </c>
      <c r="AX10" s="43">
        <f>AR9+AM10*(X12-AK10)</f>
        <v>68828.606499999994</v>
      </c>
      <c r="AY10" s="43">
        <f>AR9+AM10*(Y12-AK10)</f>
        <v>69528.096099999995</v>
      </c>
      <c r="AZ10" s="43">
        <f>AR9+AM10*(Z12-AK10)</f>
        <v>-7781.0940999999984</v>
      </c>
      <c r="BA10" s="43">
        <f>AR9+AM10*(AA12-AK10)</f>
        <v>5860.4125769594466</v>
      </c>
      <c r="BB10" s="43">
        <f>AR9+AM10*(AB12-AK10)</f>
        <v>-7781.0940999999984</v>
      </c>
      <c r="BC10" s="43">
        <f>AR9+AM10*(AC12-AK10)</f>
        <v>5774.9059000000016</v>
      </c>
      <c r="BD10" s="43">
        <f>AR9+AM10*(AD12-AK10)</f>
        <v>-7295.6084544701152</v>
      </c>
      <c r="BE10" s="43">
        <f>AR9+AM10*(AE12-AK10)</f>
        <v>5774.9059000000016</v>
      </c>
      <c r="BF10" s="43" t="e">
        <f>AR9+AM10*(AF12-AK10)</f>
        <v>#VALUE!</v>
      </c>
      <c r="BG10" s="43">
        <f>AR9+AM10*(AG12-AK10)</f>
        <v>68129.116899999994</v>
      </c>
      <c r="BH10" s="43">
        <f>AR9+AM10*(AH12-AK10)</f>
        <v>-7781.0940999999984</v>
      </c>
      <c r="BI10" s="43">
        <f>AR9+AM10*(AI12-AK10)</f>
        <v>5774.9059000000016</v>
      </c>
      <c r="BJ10" s="43">
        <f>S6*AO10</f>
        <v>0</v>
      </c>
      <c r="BK10" s="43">
        <f>T6*AO10</f>
        <v>0</v>
      </c>
      <c r="BL10" s="43">
        <f>U6*AO10</f>
        <v>0</v>
      </c>
      <c r="BM10" s="43">
        <f>V6*AO10</f>
        <v>0</v>
      </c>
      <c r="BN10" s="43">
        <f>W6*AO10</f>
        <v>0</v>
      </c>
      <c r="BO10" s="43">
        <f>X6*AO10</f>
        <v>0</v>
      </c>
      <c r="BP10" s="43">
        <f>Y6*AO10</f>
        <v>0</v>
      </c>
      <c r="BQ10" s="43">
        <f>Z6*AO10</f>
        <v>24060</v>
      </c>
      <c r="BR10" s="43">
        <f>AA6*AO10</f>
        <v>0</v>
      </c>
      <c r="BS10" s="43">
        <f>AB6*AO10</f>
        <v>24060</v>
      </c>
      <c r="BT10" s="43">
        <f>AC6*AO10</f>
        <v>0</v>
      </c>
      <c r="BU10" s="43">
        <f>AD6*AO10</f>
        <v>24060</v>
      </c>
      <c r="BV10" s="43">
        <f>AE6*AO10</f>
        <v>0</v>
      </c>
      <c r="BW10" s="43">
        <f>AF6*AO10</f>
        <v>0</v>
      </c>
      <c r="BX10" s="43">
        <f>AG6*AO10</f>
        <v>82766.400000000009</v>
      </c>
      <c r="BY10" s="43" t="e">
        <f>AH6*AO10</f>
        <v>#REF!</v>
      </c>
      <c r="BZ10" s="43" t="e">
        <f>AI6*AO10</f>
        <v>#REF!</v>
      </c>
      <c r="CA10" s="44">
        <f>AN10*S8</f>
        <v>0</v>
      </c>
      <c r="CB10" s="44">
        <f>AN10*T8</f>
        <v>0</v>
      </c>
      <c r="CC10" s="44">
        <f>AN10*U8</f>
        <v>846.32255999999995</v>
      </c>
      <c r="CD10" s="44">
        <f>AN10*V8</f>
        <v>0</v>
      </c>
      <c r="CE10" s="44">
        <f>AN10*W8</f>
        <v>423.16127999999998</v>
      </c>
      <c r="CF10" s="44">
        <f>AN10*X8</f>
        <v>423.16127999999998</v>
      </c>
      <c r="CG10" s="44">
        <f>AN10*Y8</f>
        <v>846.32255999999995</v>
      </c>
      <c r="CH10" s="44">
        <f>AN10*Z8</f>
        <v>0</v>
      </c>
      <c r="CI10" s="44">
        <f>AN10*AA8</f>
        <v>1221.2648586368778</v>
      </c>
      <c r="CJ10" s="44">
        <f>AN10*AB8</f>
        <v>0</v>
      </c>
      <c r="CK10" s="44">
        <f>AN10*AC8</f>
        <v>0</v>
      </c>
      <c r="CL10" s="44">
        <f>AN10*AD8</f>
        <v>354.20869604986962</v>
      </c>
      <c r="CM10" s="44">
        <f>AN10*AE8</f>
        <v>0</v>
      </c>
      <c r="CN10" s="44">
        <f>AN10*AF8</f>
        <v>0</v>
      </c>
      <c r="CO10" s="44">
        <f>AN10*AG8</f>
        <v>0</v>
      </c>
      <c r="CP10" s="44">
        <f>AN10*AH8</f>
        <v>0</v>
      </c>
      <c r="CQ10" s="44">
        <f>AN10*AI8</f>
        <v>5.2708224226170712E-3</v>
      </c>
      <c r="CR10" s="33"/>
      <c r="CS10" s="33"/>
      <c r="CT10" s="33"/>
      <c r="CU10" s="33"/>
      <c r="CV10" s="33"/>
      <c r="CW10" s="33"/>
      <c r="CX10" s="4"/>
      <c r="CY10" s="4"/>
      <c r="CZ10" s="4"/>
      <c r="DA10" s="4"/>
      <c r="DB10" s="4"/>
      <c r="DC10" s="4"/>
      <c r="DD10" s="4"/>
      <c r="DE10" s="4"/>
    </row>
    <row r="11" spans="1:116" ht="15" customHeight="1" thickBot="1" x14ac:dyDescent="0.3">
      <c r="A11" s="23"/>
      <c r="B11" s="179" t="s">
        <v>125</v>
      </c>
      <c r="C11" s="245">
        <v>0</v>
      </c>
      <c r="D11" s="4"/>
      <c r="E11" s="440" t="s">
        <v>216</v>
      </c>
      <c r="F11" s="441"/>
      <c r="G11" s="396">
        <v>0.06</v>
      </c>
      <c r="H11" s="357">
        <f>AVERAGE(J109:J113)</f>
        <v>13239.165143887178</v>
      </c>
      <c r="I11" s="360">
        <f>AVERAGE(G109:G113)+AVERAGE(H109:H113)</f>
        <v>16743.669693196887</v>
      </c>
      <c r="J11" s="89">
        <f>AVERAGE(I109:I113)</f>
        <v>26080.482388157146</v>
      </c>
      <c r="K11" s="4"/>
      <c r="L11" s="462" t="s">
        <v>235</v>
      </c>
      <c r="M11" s="463"/>
      <c r="N11" s="464"/>
      <c r="O11" s="4"/>
      <c r="P11" s="4"/>
      <c r="Q11" s="2"/>
      <c r="R11" s="14" t="s">
        <v>41</v>
      </c>
      <c r="S11" s="14">
        <f t="shared" ref="S11:X11" si="10">0.5*S10</f>
        <v>0</v>
      </c>
      <c r="T11" s="14">
        <f t="shared" si="10"/>
        <v>0</v>
      </c>
      <c r="U11" s="14">
        <f t="shared" si="10"/>
        <v>0</v>
      </c>
      <c r="V11" s="14">
        <f t="shared" si="10"/>
        <v>0</v>
      </c>
      <c r="W11" s="14">
        <f t="shared" si="10"/>
        <v>0</v>
      </c>
      <c r="X11" s="14">
        <f t="shared" si="10"/>
        <v>0</v>
      </c>
      <c r="Y11" s="14">
        <f>0.5*Y10</f>
        <v>0</v>
      </c>
      <c r="Z11" s="14">
        <f>0.5*Z10</f>
        <v>0</v>
      </c>
      <c r="AA11" s="14">
        <f>0.5*AA10</f>
        <v>252.30651212583325</v>
      </c>
      <c r="AB11" s="63">
        <f t="shared" ref="AB11:AH11" si="11">0.5*AB10</f>
        <v>0</v>
      </c>
      <c r="AC11" s="63">
        <f t="shared" si="11"/>
        <v>0</v>
      </c>
      <c r="AD11" s="63">
        <f t="shared" si="11"/>
        <v>1432.5336250512971</v>
      </c>
      <c r="AE11" s="63">
        <f t="shared" si="11"/>
        <v>0</v>
      </c>
      <c r="AF11" s="63" t="e">
        <f t="shared" si="11"/>
        <v>#VALUE!</v>
      </c>
      <c r="AG11" s="63">
        <f t="shared" si="11"/>
        <v>0</v>
      </c>
      <c r="AH11" s="63">
        <f t="shared" si="11"/>
        <v>0</v>
      </c>
      <c r="AI11" s="63">
        <f t="shared" ref="AI11" si="12">0.5*AI10</f>
        <v>0</v>
      </c>
      <c r="AJ11" s="25" t="s">
        <v>42</v>
      </c>
      <c r="AK11" s="52">
        <f t="shared" si="5"/>
        <v>89132</v>
      </c>
      <c r="AL11" s="53">
        <v>93208</v>
      </c>
      <c r="AM11" s="39">
        <v>0.37909999999999999</v>
      </c>
      <c r="AN11" s="40">
        <v>0.1779</v>
      </c>
      <c r="AO11" s="40">
        <v>0.28720000000000001</v>
      </c>
      <c r="AP11" s="41">
        <f t="shared" si="0"/>
        <v>4076</v>
      </c>
      <c r="AQ11" s="41">
        <f t="shared" si="1"/>
        <v>1545.2115999999999</v>
      </c>
      <c r="AR11" s="24">
        <f t="shared" si="6"/>
        <v>23970.613399999998</v>
      </c>
      <c r="AS11" s="42">
        <f>AR10+AM11*(S12-AK11)</f>
        <v>7287.1805999999997</v>
      </c>
      <c r="AT11" s="42">
        <f>AR10+AM11*(T12-AK11)</f>
        <v>73550.069599999988</v>
      </c>
      <c r="AU11" s="42">
        <f>AR10+AM11*(U12-AK11)</f>
        <v>5727.4722160000019</v>
      </c>
      <c r="AV11" s="43">
        <f>AR10+AM11*(V12-AK11)</f>
        <v>76674.702783999994</v>
      </c>
      <c r="AW11" s="43">
        <f>AR10+AM11*(W12-AK11)</f>
        <v>8069.643</v>
      </c>
      <c r="AX11" s="43">
        <f>AR10+AM11*(X12-AK11)</f>
        <v>74332.532000000007</v>
      </c>
      <c r="AY11" s="43">
        <f>AR10+AM11*(Y12-AK11)</f>
        <v>75114.994399999996</v>
      </c>
      <c r="AZ11" s="43">
        <f>AR10+AM11*(Z12-AK11)</f>
        <v>-11364.539400000001</v>
      </c>
      <c r="BA11" s="43">
        <f>AR10+AM11*(AA12-AK11)</f>
        <v>3895.1099987469024</v>
      </c>
      <c r="BB11" s="43">
        <f>AR10+AM11*(AB12-AK11)</f>
        <v>-11364.539400000001</v>
      </c>
      <c r="BC11" s="43">
        <f>AR10+AM11*(AC12-AK11)</f>
        <v>3799.4605999999985</v>
      </c>
      <c r="BD11" s="43">
        <f>AR10+AM11*(AD12-AK11)</f>
        <v>-10821.465902743053</v>
      </c>
      <c r="BE11" s="43">
        <f>AR10+AM11*(AE12-AK11)</f>
        <v>3799.4605999999985</v>
      </c>
      <c r="BF11" s="43" t="e">
        <f>AR10+AM11*(AF12-AK11)</f>
        <v>#VALUE!</v>
      </c>
      <c r="BG11" s="43">
        <f>AR10+AM11*(AG12-AK11)</f>
        <v>73550.069599999988</v>
      </c>
      <c r="BH11" s="43">
        <f>AR10+AM11*(AH12-AK11)</f>
        <v>-11364.539400000001</v>
      </c>
      <c r="BI11" s="43">
        <f>AR10+AM11*(AI12-AK11)</f>
        <v>3799.4605999999985</v>
      </c>
      <c r="BJ11" s="43">
        <f>S6*AO11</f>
        <v>0</v>
      </c>
      <c r="BK11" s="43">
        <f>T6*AO11</f>
        <v>0</v>
      </c>
      <c r="BL11" s="43">
        <f>U6*AO11</f>
        <v>0</v>
      </c>
      <c r="BM11" s="43">
        <f>V6*AO11</f>
        <v>0</v>
      </c>
      <c r="BN11" s="43">
        <f>W6*AO11</f>
        <v>0</v>
      </c>
      <c r="BO11" s="43">
        <f>X6*AO11</f>
        <v>0</v>
      </c>
      <c r="BP11" s="43">
        <f>Y6*AO11</f>
        <v>0</v>
      </c>
      <c r="BQ11" s="43">
        <f>Z6*AO11</f>
        <v>28720</v>
      </c>
      <c r="BR11" s="43">
        <f>AA6*AO11</f>
        <v>0</v>
      </c>
      <c r="BS11" s="43">
        <f>AB6*AO11</f>
        <v>28720</v>
      </c>
      <c r="BT11" s="43">
        <f>AC6*AO11</f>
        <v>0</v>
      </c>
      <c r="BU11" s="43">
        <f>AD6*AO11</f>
        <v>28720</v>
      </c>
      <c r="BV11" s="43">
        <f>AE6*AO11</f>
        <v>0</v>
      </c>
      <c r="BW11" s="43">
        <f>AF6*AO11</f>
        <v>0</v>
      </c>
      <c r="BX11" s="43">
        <f>AG6*AO11</f>
        <v>98796.800000000003</v>
      </c>
      <c r="BY11" s="43" t="e">
        <f>AH6*AO11</f>
        <v>#REF!</v>
      </c>
      <c r="BZ11" s="43" t="e">
        <f>AI6*AO11</f>
        <v>#REF!</v>
      </c>
      <c r="CA11" s="44">
        <f>AN11*S8</f>
        <v>0</v>
      </c>
      <c r="CB11" s="44">
        <f>AN11*T8</f>
        <v>0</v>
      </c>
      <c r="CC11" s="44">
        <f>AN11*U8</f>
        <v>1230.07176</v>
      </c>
      <c r="CD11" s="44">
        <f>AN11*V8</f>
        <v>0</v>
      </c>
      <c r="CE11" s="44">
        <f>AN11*W8</f>
        <v>615.03588000000002</v>
      </c>
      <c r="CF11" s="44">
        <f>AN11*X8</f>
        <v>615.03588000000002</v>
      </c>
      <c r="CG11" s="44">
        <f>AN11*Y8</f>
        <v>1230.07176</v>
      </c>
      <c r="CH11" s="44">
        <f>AN11*Z8</f>
        <v>0</v>
      </c>
      <c r="CI11" s="44">
        <f>AN11*AA8</f>
        <v>1775.0246597344817</v>
      </c>
      <c r="CJ11" s="44">
        <f>AN11*AB8</f>
        <v>0</v>
      </c>
      <c r="CK11" s="44">
        <f>AN11*AC8</f>
        <v>0</v>
      </c>
      <c r="CL11" s="44">
        <f>AN11*AD8</f>
        <v>514.8180312685605</v>
      </c>
      <c r="CM11" s="44">
        <f>AN11*AE8</f>
        <v>0</v>
      </c>
      <c r="CN11" s="44">
        <f>AN11*AF8</f>
        <v>0</v>
      </c>
      <c r="CO11" s="44">
        <f>AN11*AG8</f>
        <v>0</v>
      </c>
      <c r="CP11" s="44">
        <f>AN11*AH8</f>
        <v>0</v>
      </c>
      <c r="CQ11" s="44">
        <f>AN11*AI8</f>
        <v>7.6607786681664788E-3</v>
      </c>
      <c r="CR11" s="33"/>
      <c r="CS11" s="33"/>
      <c r="CT11" s="33"/>
      <c r="CU11" s="33"/>
      <c r="CV11" s="33"/>
      <c r="CW11" s="33"/>
      <c r="CX11" s="4"/>
      <c r="CY11" s="4"/>
      <c r="CZ11" s="4"/>
      <c r="DA11" s="4"/>
      <c r="DB11" s="4"/>
      <c r="DC11" s="4"/>
      <c r="DD11" s="4"/>
      <c r="DE11" s="4"/>
    </row>
    <row r="12" spans="1:116" ht="15" customHeight="1" thickBot="1" x14ac:dyDescent="0.3">
      <c r="A12" s="23"/>
      <c r="B12" s="180" t="s">
        <v>44</v>
      </c>
      <c r="C12" s="344">
        <f>IF(C6="AB",S39,IF(C6="BC",S70,IF(C6="MB",S87,IF(C6="NB",S138,IF(C6="NF",S172,IF(C6="NS",S155,IF(C6="ON",S18,IF(C6="PE",S189,IF(C6="PQ",S121,S104)))))))))</f>
        <v>8003.7415000000001</v>
      </c>
      <c r="D12" s="65"/>
      <c r="E12" s="4"/>
      <c r="F12" s="4"/>
      <c r="G12" s="4"/>
      <c r="H12" s="445" t="s">
        <v>255</v>
      </c>
      <c r="I12" s="446"/>
      <c r="J12" s="447"/>
      <c r="K12" s="4"/>
      <c r="L12" s="4"/>
      <c r="M12" s="4"/>
      <c r="N12" s="4"/>
      <c r="O12" s="4"/>
      <c r="P12" s="4"/>
      <c r="Q12" s="2"/>
      <c r="R12" s="14" t="s">
        <v>43</v>
      </c>
      <c r="S12" s="2">
        <f t="shared" ref="S12:X12" si="13">S3-S4+S11</f>
        <v>49200</v>
      </c>
      <c r="T12" s="66">
        <f t="shared" si="13"/>
        <v>223990</v>
      </c>
      <c r="U12" s="66">
        <f>U3-U4+U11</f>
        <v>45085.760000000002</v>
      </c>
      <c r="V12" s="2">
        <f t="shared" si="13"/>
        <v>232232.24</v>
      </c>
      <c r="W12" s="2">
        <f t="shared" si="13"/>
        <v>51264</v>
      </c>
      <c r="X12" s="2">
        <f t="shared" si="13"/>
        <v>226054</v>
      </c>
      <c r="Y12" s="66">
        <f t="shared" ref="Y12:AG12" si="14">Y3-Y4+Y11</f>
        <v>228118</v>
      </c>
      <c r="Z12" s="66">
        <f t="shared" si="14"/>
        <v>0</v>
      </c>
      <c r="AA12" s="66">
        <f>AA3-AA4+AA11</f>
        <v>40252.306512125833</v>
      </c>
      <c r="AB12" s="66">
        <f>AB3-AB4+AB11</f>
        <v>0</v>
      </c>
      <c r="AC12" s="66">
        <f t="shared" si="14"/>
        <v>40000</v>
      </c>
      <c r="AD12" s="66">
        <f t="shared" si="14"/>
        <v>1432.5336250512971</v>
      </c>
      <c r="AE12" s="66">
        <f t="shared" si="14"/>
        <v>40000</v>
      </c>
      <c r="AF12" s="66" t="e">
        <f t="shared" si="14"/>
        <v>#VALUE!</v>
      </c>
      <c r="AG12" s="66">
        <f t="shared" si="14"/>
        <v>223990</v>
      </c>
      <c r="AH12" s="66">
        <f>AH3-AH4+AH11</f>
        <v>0</v>
      </c>
      <c r="AI12" s="66">
        <f>AI3-AI4+AI11</f>
        <v>40000</v>
      </c>
      <c r="AJ12" s="2">
        <f>IF(S12&lt;AL6,AM6,IF(S12&lt;AL7,AM7,IF(S12&lt;AL8,AM8,IF(S12&lt;AL9,AM9,IF(S12&lt;AL10,AM10,IF(S12&lt;AL11,AM11,IF(S12&lt;AL12,AM12,IF(S12&lt;AL13,AM13,IF(S12&lt;AL14,AM14,IF(S12&lt;AL15,AM15,AM16))))))))))</f>
        <v>0.29649999999999999</v>
      </c>
      <c r="AK12" s="67">
        <f t="shared" si="5"/>
        <v>93209</v>
      </c>
      <c r="AL12" s="68">
        <v>144489</v>
      </c>
      <c r="AM12" s="69">
        <v>0.43409999999999999</v>
      </c>
      <c r="AN12" s="70">
        <v>0.25380000000000003</v>
      </c>
      <c r="AO12" s="70">
        <v>0.35099999999999998</v>
      </c>
      <c r="AP12" s="71">
        <f t="shared" si="0"/>
        <v>51280</v>
      </c>
      <c r="AQ12" s="71">
        <f t="shared" si="1"/>
        <v>22260.648000000001</v>
      </c>
      <c r="AR12" s="72">
        <f t="shared" si="6"/>
        <v>46231.261400000003</v>
      </c>
      <c r="AS12" s="73">
        <f>AR11+AM12*(S12-AK12)</f>
        <v>4866.3064999999988</v>
      </c>
      <c r="AT12" s="73">
        <f>AR11+AM12*(T12-AK12)</f>
        <v>80742.645499999999</v>
      </c>
      <c r="AU12" s="42">
        <f>AR11+AM12*(U12-AK12)</f>
        <v>3080.3149159999994</v>
      </c>
      <c r="AV12" s="43">
        <f>AR11+AM12*(V12-AK12)</f>
        <v>84320.601883999989</v>
      </c>
      <c r="AW12" s="43">
        <f>AR11+AM12*(W12-AK12)</f>
        <v>5762.2888999999996</v>
      </c>
      <c r="AX12" s="43">
        <f>AR11+AM12*(X12-AK12)</f>
        <v>81638.627899999992</v>
      </c>
      <c r="AY12" s="43">
        <f>AR11+AM12*(Y12-AK12)</f>
        <v>82534.6103</v>
      </c>
      <c r="AZ12" s="43">
        <f>AR11+AM12*(Z12-AK12)</f>
        <v>-16491.413499999999</v>
      </c>
      <c r="BA12" s="43">
        <f>AR11+AM12*(AA12-AK12)</f>
        <v>982.11275691382252</v>
      </c>
      <c r="BB12" s="43">
        <f>AR11+AM12*(AB12-AK12)</f>
        <v>-16491.413499999999</v>
      </c>
      <c r="BC12" s="43">
        <f>AR11+AM12*(AC12-AK12)</f>
        <v>872.58649999999761</v>
      </c>
      <c r="BD12" s="43">
        <f>AR11+AM12*(AD12-AK12)</f>
        <v>-15869.550653365233</v>
      </c>
      <c r="BE12" s="43">
        <f>AR11+AM12*(AE12-AK12)</f>
        <v>872.58649999999761</v>
      </c>
      <c r="BF12" s="43" t="e">
        <f>AR11+AM12*(AF12-AK12)</f>
        <v>#VALUE!</v>
      </c>
      <c r="BG12" s="43">
        <f>AR11+AM12*(AG12-AK12)</f>
        <v>80742.645499999999</v>
      </c>
      <c r="BH12" s="43">
        <f>AR11+AM12*(AH12-AK12)</f>
        <v>-16491.413499999999</v>
      </c>
      <c r="BI12" s="43">
        <f>AR11+AM12*(AI12-AK12)</f>
        <v>872.58649999999761</v>
      </c>
      <c r="BJ12" s="43">
        <f>S6*AO12</f>
        <v>0</v>
      </c>
      <c r="BK12" s="43">
        <f>T6*AO12</f>
        <v>0</v>
      </c>
      <c r="BL12" s="43">
        <f>U6*AO12</f>
        <v>0</v>
      </c>
      <c r="BM12" s="43">
        <f>V6*AO12</f>
        <v>0</v>
      </c>
      <c r="BN12" s="43">
        <f>W6*AO12</f>
        <v>0</v>
      </c>
      <c r="BO12" s="43">
        <f>X6*AO12</f>
        <v>0</v>
      </c>
      <c r="BP12" s="43">
        <f>Y6*AO12</f>
        <v>0</v>
      </c>
      <c r="BQ12" s="43">
        <f>Z6*AO12</f>
        <v>35100</v>
      </c>
      <c r="BR12" s="43">
        <f>AA6*AO12</f>
        <v>0</v>
      </c>
      <c r="BS12" s="43">
        <f>AB6*AO12</f>
        <v>35100</v>
      </c>
      <c r="BT12" s="43">
        <f>AC6*AO12</f>
        <v>0</v>
      </c>
      <c r="BU12" s="43">
        <f>AD6*AO12</f>
        <v>35100</v>
      </c>
      <c r="BV12" s="43">
        <f>AE6*AO12</f>
        <v>0</v>
      </c>
      <c r="BW12" s="43">
        <f>AF6*AO12</f>
        <v>0</v>
      </c>
      <c r="BX12" s="43">
        <f>AG6*AO12</f>
        <v>120743.99999999999</v>
      </c>
      <c r="BY12" s="43" t="e">
        <f>AH6*AO12</f>
        <v>#REF!</v>
      </c>
      <c r="BZ12" s="43" t="e">
        <f>AI6*AO12</f>
        <v>#REF!</v>
      </c>
      <c r="CA12" s="44">
        <f>AN12*S8</f>
        <v>0</v>
      </c>
      <c r="CB12" s="44">
        <f>AN12*T8</f>
        <v>0</v>
      </c>
      <c r="CC12" s="44">
        <f>AN12*U8</f>
        <v>1754.87472</v>
      </c>
      <c r="CD12" s="44">
        <f>AN12*V8</f>
        <v>0</v>
      </c>
      <c r="CE12" s="44">
        <f>AN12*W8</f>
        <v>877.43736000000001</v>
      </c>
      <c r="CF12" s="44">
        <f>AN12*X8</f>
        <v>877.43736000000001</v>
      </c>
      <c r="CG12" s="44">
        <f>AN12*Y8</f>
        <v>1754.87472</v>
      </c>
      <c r="CH12" s="44">
        <f>AN12*Z8</f>
        <v>0</v>
      </c>
      <c r="CI12" s="44">
        <f>AN12*AA8</f>
        <v>2532.3286039382324</v>
      </c>
      <c r="CJ12" s="44">
        <f>AN12*AB8</f>
        <v>0</v>
      </c>
      <c r="CK12" s="44">
        <f>AN12*AC8</f>
        <v>0</v>
      </c>
      <c r="CL12" s="44">
        <f>AN12*AD8</f>
        <v>734.46214916222971</v>
      </c>
      <c r="CM12" s="44">
        <f>AN12*AE8</f>
        <v>0</v>
      </c>
      <c r="CN12" s="44">
        <f>AN12*AF8</f>
        <v>0</v>
      </c>
      <c r="CO12" s="44">
        <f>AN12*AG8</f>
        <v>0</v>
      </c>
      <c r="CP12" s="44">
        <f>AN12*AH8</f>
        <v>0</v>
      </c>
      <c r="CQ12" s="44">
        <f>AN12*AI8</f>
        <v>1.0929205317485398E-2</v>
      </c>
      <c r="CR12" s="4"/>
      <c r="CS12" s="4"/>
      <c r="CT12" s="4"/>
      <c r="CU12" s="4"/>
      <c r="CV12" s="4"/>
      <c r="CW12" s="4"/>
      <c r="CX12" s="4"/>
      <c r="CY12" s="4"/>
      <c r="CZ12" s="4"/>
      <c r="DA12" s="4"/>
      <c r="DB12" s="4"/>
      <c r="DC12" s="4"/>
      <c r="DD12" s="4"/>
      <c r="DE12" s="4"/>
    </row>
    <row r="13" spans="1:116" ht="15" customHeight="1" thickBot="1" x14ac:dyDescent="0.3">
      <c r="A13" s="23"/>
      <c r="B13" s="181" t="s">
        <v>127</v>
      </c>
      <c r="C13" s="177">
        <f>C7-C8+C9+C10+C11-C12</f>
        <v>41196.258499999996</v>
      </c>
      <c r="D13" s="74"/>
      <c r="E13" s="4"/>
      <c r="F13" s="4"/>
      <c r="G13" s="4"/>
      <c r="H13" s="4"/>
      <c r="I13" s="4"/>
      <c r="J13" s="4"/>
      <c r="K13" s="4"/>
      <c r="L13" s="4"/>
      <c r="M13" s="4"/>
      <c r="N13" s="4"/>
      <c r="O13" s="4"/>
      <c r="P13" s="4"/>
      <c r="Q13" s="2"/>
      <c r="R13" s="3" t="s">
        <v>45</v>
      </c>
      <c r="S13" s="75">
        <f t="shared" ref="S13:X13" si="15">(S3-S4)+S7+S9+S11</f>
        <v>49200</v>
      </c>
      <c r="T13" s="75">
        <f t="shared" si="15"/>
        <v>223990</v>
      </c>
      <c r="U13" s="75">
        <f t="shared" si="15"/>
        <v>54627.631999999998</v>
      </c>
      <c r="V13" s="75">
        <f t="shared" si="15"/>
        <v>232232.24</v>
      </c>
      <c r="W13" s="72">
        <f t="shared" si="15"/>
        <v>56034.936000000002</v>
      </c>
      <c r="X13" s="72">
        <f t="shared" si="15"/>
        <v>230824.93599999999</v>
      </c>
      <c r="Y13" s="72">
        <f t="shared" ref="Y13:AF13" si="16">(Y3-Y4)+Y7+Y9+Y11</f>
        <v>237659.872</v>
      </c>
      <c r="Z13" s="72">
        <f t="shared" si="16"/>
        <v>115999.99999999999</v>
      </c>
      <c r="AA13" s="72">
        <f>(AA3-AA4)+AA7+AA9+AA11</f>
        <v>54021.469134012201</v>
      </c>
      <c r="AB13" s="72">
        <f t="shared" si="16"/>
        <v>115999.99999999999</v>
      </c>
      <c r="AC13" s="72">
        <f t="shared" si="16"/>
        <v>40000</v>
      </c>
      <c r="AD13" s="72">
        <f t="shared" si="16"/>
        <v>121426.06304129981</v>
      </c>
      <c r="AE13" s="72">
        <f t="shared" si="16"/>
        <v>40000</v>
      </c>
      <c r="AF13" s="72" t="e">
        <f t="shared" si="16"/>
        <v>#VALUE!</v>
      </c>
      <c r="AG13" s="72">
        <f>(AG3-AG4)+AG7+AG9+AG11</f>
        <v>623030</v>
      </c>
      <c r="AH13" s="72" t="e">
        <f>(AH3-AH4)+AH7+AH9+AH11</f>
        <v>#REF!</v>
      </c>
      <c r="AI13" s="72" t="e">
        <f>(AI3-AI4)+AI7+AI9+AI11</f>
        <v>#REF!</v>
      </c>
      <c r="AJ13" s="2">
        <f>AJ12*0.5</f>
        <v>0.14824999999999999</v>
      </c>
      <c r="AK13" s="67">
        <f t="shared" si="5"/>
        <v>144490</v>
      </c>
      <c r="AL13" s="68">
        <v>150000</v>
      </c>
      <c r="AM13" s="69">
        <v>0.46410000000000001</v>
      </c>
      <c r="AN13" s="70">
        <v>0.29520000000000002</v>
      </c>
      <c r="AO13" s="70">
        <v>0.38579999999999998</v>
      </c>
      <c r="AP13" s="71">
        <f t="shared" si="0"/>
        <v>5510</v>
      </c>
      <c r="AQ13" s="71">
        <f t="shared" si="1"/>
        <v>2557.1910000000003</v>
      </c>
      <c r="AR13" s="72">
        <f t="shared" si="6"/>
        <v>48788.452400000002</v>
      </c>
      <c r="AS13" s="73">
        <f>AR12+AM13*(S12-AK13)</f>
        <v>2007.1724000000031</v>
      </c>
      <c r="AT13" s="73">
        <f>AR12+AM13*(T12-AK13)</f>
        <v>83127.2114</v>
      </c>
      <c r="AU13" s="42">
        <f>AR12+AM13*(U12-AK13)</f>
        <v>97.75361600000906</v>
      </c>
      <c r="AV13" s="43">
        <f>AR12+AM13*(V12-AK13)</f>
        <v>86952.434983999992</v>
      </c>
      <c r="AW13" s="43">
        <f>AR12+AM13*(W12-AK13)</f>
        <v>2965.0748000000021</v>
      </c>
      <c r="AX13" s="43">
        <f>AR12+AM13*(X12-AK13)</f>
        <v>84085.113800000006</v>
      </c>
      <c r="AY13" s="43">
        <f>AR12+AM13*(Y12-AK13)</f>
        <v>85043.016200000013</v>
      </c>
      <c r="AZ13" s="43">
        <f>AR12+AM13*(Z12-AK13)</f>
        <v>-20826.547600000005</v>
      </c>
      <c r="BA13" s="43">
        <f>AR12+AM13*(AA12-AK13)</f>
        <v>-2145.4521477224043</v>
      </c>
      <c r="BB13" s="43">
        <f>AR12+AM13*(AB12-AK13)</f>
        <v>-20826.547600000005</v>
      </c>
      <c r="BC13" s="43">
        <f>AR12+AM13*(AC12-AK13)</f>
        <v>-2262.5475999999981</v>
      </c>
      <c r="BD13" s="43">
        <f>AR12+AM13*(AD12-AK13)</f>
        <v>-20161.708744613701</v>
      </c>
      <c r="BE13" s="43">
        <f>AR12+AM13*(AE12-AK13)</f>
        <v>-2262.5475999999981</v>
      </c>
      <c r="BF13" s="43" t="e">
        <f>AR12+AM13*(AF12-AK13)</f>
        <v>#VALUE!</v>
      </c>
      <c r="BG13" s="43">
        <f>AR12+AM13*(AG12-AK13)</f>
        <v>83127.2114</v>
      </c>
      <c r="BH13" s="43">
        <f>AR12+AM13*(AH12-AK13)</f>
        <v>-20826.547600000005</v>
      </c>
      <c r="BI13" s="43">
        <f>AR12+AM13*(AI12-AK13)</f>
        <v>-2262.5475999999981</v>
      </c>
      <c r="BJ13" s="43">
        <f>S6*AO13</f>
        <v>0</v>
      </c>
      <c r="BK13" s="43">
        <f>T6*AO13</f>
        <v>0</v>
      </c>
      <c r="BL13" s="43">
        <f>U6*AO13</f>
        <v>0</v>
      </c>
      <c r="BM13" s="43">
        <f>V6*AO13</f>
        <v>0</v>
      </c>
      <c r="BN13" s="43">
        <f>W6*AO13</f>
        <v>0</v>
      </c>
      <c r="BO13" s="43">
        <f>X6*AO13</f>
        <v>0</v>
      </c>
      <c r="BP13" s="43">
        <f>Y6*AO13</f>
        <v>0</v>
      </c>
      <c r="BQ13" s="43">
        <f>Z6*AO13</f>
        <v>38580</v>
      </c>
      <c r="BR13" s="43">
        <f>AA6*AO13</f>
        <v>0</v>
      </c>
      <c r="BS13" s="43">
        <f>AB6*AO13</f>
        <v>38580</v>
      </c>
      <c r="BT13" s="43">
        <f>AC6*AO13</f>
        <v>0</v>
      </c>
      <c r="BU13" s="43">
        <f>AD6*AO13</f>
        <v>38580</v>
      </c>
      <c r="BV13" s="43">
        <f>AE6*AO13</f>
        <v>0</v>
      </c>
      <c r="BW13" s="43">
        <f>AF6*AO13</f>
        <v>0</v>
      </c>
      <c r="BX13" s="43">
        <f>AG6*AO13</f>
        <v>132715.19999999998</v>
      </c>
      <c r="BY13" s="43" t="e">
        <f>AH6*AO13</f>
        <v>#REF!</v>
      </c>
      <c r="BZ13" s="43" t="e">
        <f>AI6*AO13</f>
        <v>#REF!</v>
      </c>
      <c r="CA13" s="44">
        <f>AN13*S8</f>
        <v>0</v>
      </c>
      <c r="CB13" s="44">
        <f>AN13*T8</f>
        <v>0</v>
      </c>
      <c r="CC13" s="44">
        <f>AN13*U8</f>
        <v>2041.1308799999999</v>
      </c>
      <c r="CD13" s="44">
        <f>AN13*V8</f>
        <v>0</v>
      </c>
      <c r="CE13" s="44">
        <f>AN13*W8</f>
        <v>1020.56544</v>
      </c>
      <c r="CF13" s="44">
        <f>AN13*X8</f>
        <v>1020.56544</v>
      </c>
      <c r="CG13" s="44">
        <f>AN13*Y8</f>
        <v>2041.1308799999999</v>
      </c>
      <c r="CH13" s="44">
        <f>AN13*Z8</f>
        <v>0</v>
      </c>
      <c r="CI13" s="44">
        <f>AN13*AA8</f>
        <v>2945.4034825948233</v>
      </c>
      <c r="CJ13" s="44">
        <f>AN13*AB8</f>
        <v>0</v>
      </c>
      <c r="CK13" s="44">
        <f>AN13*AC8</f>
        <v>0</v>
      </c>
      <c r="CL13" s="44">
        <f>AN13*AD8</f>
        <v>854.26803164968555</v>
      </c>
      <c r="CM13" s="44">
        <f>AN13*AE8</f>
        <v>0</v>
      </c>
      <c r="CN13" s="44">
        <f>AN13*AF8</f>
        <v>0</v>
      </c>
      <c r="CO13" s="44">
        <f>AN13*AG8</f>
        <v>0</v>
      </c>
      <c r="CP13" s="44">
        <f>AN13*AH8</f>
        <v>0</v>
      </c>
      <c r="CQ13" s="44">
        <f>AN13*AI8</f>
        <v>1.2711983489841172E-2</v>
      </c>
      <c r="CR13" s="4"/>
      <c r="CS13" s="4"/>
      <c r="CT13" s="4"/>
      <c r="CU13" s="4"/>
      <c r="CV13" s="4"/>
      <c r="CW13" s="4"/>
      <c r="CX13" s="4"/>
      <c r="CY13" s="4"/>
      <c r="CZ13" s="4"/>
      <c r="DA13" s="4"/>
      <c r="DB13" s="4"/>
      <c r="DC13" s="4"/>
      <c r="DD13" s="4"/>
      <c r="DE13" s="4"/>
    </row>
    <row r="14" spans="1:116" ht="15" customHeight="1" thickBot="1" x14ac:dyDescent="0.3">
      <c r="A14" s="23"/>
      <c r="B14" s="4"/>
      <c r="C14" s="4"/>
      <c r="D14" s="4"/>
      <c r="E14" s="437" t="s">
        <v>129</v>
      </c>
      <c r="F14" s="438"/>
      <c r="G14" s="439"/>
      <c r="H14" s="271" t="s">
        <v>221</v>
      </c>
      <c r="I14" s="4"/>
      <c r="J14" s="4"/>
      <c r="K14" s="4"/>
      <c r="L14" s="442" t="s">
        <v>24</v>
      </c>
      <c r="M14" s="443"/>
      <c r="N14" s="443"/>
      <c r="O14" s="444"/>
      <c r="P14" s="346"/>
      <c r="Q14" s="2"/>
      <c r="R14" s="3" t="s">
        <v>46</v>
      </c>
      <c r="S14" s="75">
        <f>IF(S13&lt;AL6,AS6,IF(S13&lt;AL7,AS7,IF(S13&lt;AL8,AS8,IF(S13&lt;AL9,AS9,IF(S13&lt;AL10,AS10,IF(S13&lt;AL11,AS11,IF(S13&lt;AL12,AS12,IF(S13&lt;AL13,AS13,IF(S13&lt;AL14,AS14,IF(S13&lt;AL15,AS15,AS16))))))))))</f>
        <v>10262.627</v>
      </c>
      <c r="T14" s="75">
        <f>IF(T13&lt;AL6,AT6,IF(T13&lt;AL7,AT7,IF(T13&lt;AL8,AT8,IF(T13&lt;AL9,AT9,IF(T13&lt;AL10,AT10,IF(T13&lt;AL11,AT11,IF(T13&lt;AL12,AT12,IF(T13&lt;AL13,AT13,IF(T13&lt;AL14,AT14,IF(T13&lt;AL15,AT15,AT16))))))))))</f>
        <v>85068.084700000021</v>
      </c>
      <c r="U14" s="75">
        <f>IF(U13&lt;AL6,AU6,IF(U13&lt;AL7,AU7,IF(U13&lt;AL8,AU8,IF(U13&lt;AL9,AU9,IF(U13&lt;AL10,AU10,IF(U13&lt;AL11,AU11,IF(U13&lt;AL12,AU12,IF(U13&lt;AL13,AU13,IF(U13&lt;AL14,AU14,IF(U13&lt;AL15,AU15,AU16))))))))))</f>
        <v>9042.7548400000014</v>
      </c>
      <c r="V14" s="75">
        <f>IF(V13&lt;AL6,AV6,IF(V13&lt;AL7,AV7,IF(V13&lt;AL8,AV8,IF(V13&lt;AL9,AV9,IF(V13&lt;AL10,AV10,IF(V13&lt;AL11,AV11,IF(V13&lt;AL12,AV12,IF(V13&lt;AL13,AV13,IF(V13&lt;AL14,AV14,IF(V13&lt;AL15,AV15,AV16))))))))))</f>
        <v>89480.155772000013</v>
      </c>
      <c r="W14" s="75">
        <f>IF(W13&lt;AL6,AW6,IF(W13&lt;AL7,AW7,IF(W13&lt;AL8,AW8,IF(W13&lt;AL9,AW9,IF(W13&lt;AL10,AW10,IF(W13&lt;AL11,AW11,IF(W13&lt;AL12,AW12,IF(W13&lt;AL13,AW13,IF(W13&lt;AL14,AW14,IF(W13&lt;AL15,AW15,AW16))))))))))</f>
        <v>10874.603000000001</v>
      </c>
      <c r="X14" s="75">
        <f>IF(X13&lt;AL6,AX6,IF(X13&lt;AL7,AX7,IF(X13&lt;AL8,AX8,IF(X13&lt;AL9,AX9,IF(X13&lt;AL10,AX10,IF(X13&lt;AL11,AX11,IF(X13&lt;AL12,AX12,IF(X13&lt;AL13,AX13,IF(X13&lt;AL14,AX14,IF(X13&lt;AL15,AX15,AX16))))))))))</f>
        <v>86172.943900000013</v>
      </c>
      <c r="Y14" s="75">
        <f>IF(Y13&lt;AL6,AY6,IF(Y13&lt;AL7,AY7,IF(Y13&lt;AL8,AY8,IF(Y13&lt;AL9,AY9,IF(Y13&lt;AL10,AY10,IF(Y13&lt;AL11,AY11,IF(Y13&lt;AL12,AY12,IF(Y13&lt;AL13,AY13,IF(Y13&lt;AL14,AY14,IF(Y13&lt;AL15,AY15,AY16))))))))))</f>
        <v>87277.803100000019</v>
      </c>
      <c r="Z14" s="75">
        <f>IF(Z13&lt;AL6,AZ6,IF(Z13&lt;AL7,AZ7,IF(Z13&lt;AL8,AZ8,IF(Z13&lt;AL9,AZ9,IF(Z13&lt;AL10,AZ10,IF(Z13&lt;AL11,AZ11,IF(Z13&lt;AL12,AZ12,IF(Z13&lt;AL13,AZ13,IF(Z13&lt;AL14,AZ14,IF(Z13&lt;AL15,AZ15,AZ16))))))))))</f>
        <v>-16491.413499999999</v>
      </c>
      <c r="AA14" s="75">
        <f>IF(AA13&lt;AL6,BA6,IF(AA13&lt;AL7,BA7,IF(AA13&lt;AL8,BA8,IF(AA13&lt;AL9,BA9,IF(AA13&lt;AL10,BA10,IF(AA13&lt;AL11,BA11,IF(AA13&lt;AL12,BA12,IF(AA13&lt;AL13,BA13,IF(AA13&lt;AL14,BA14,IF(AA13&lt;AL15,BA15,BA16))))))))))</f>
        <v>7609.6358808453106</v>
      </c>
      <c r="AB14" s="75">
        <f>IF(AB13&lt;AL6,BB6,IF(AB13&lt;AL7,BB7,IF(AB13&lt;AL8,BB8,IF(AB13&lt;AL9,BB9,IF(AB13&lt;AL10,BB10,IF(AB13&lt;AL11,BB11,IF(AB13&lt;AL12,BB12,IF(AB13&lt;AL13,BB13,IF(AB13&lt;AL14,BB14,IF(AB13&lt;AL15,BB15,BB16))))))))))</f>
        <v>-16491.413499999999</v>
      </c>
      <c r="AC14" s="75">
        <f>IF(AC13&lt;AL6,BC6,IF(AC13&lt;AL7,BC7,IF(AC13&lt;AL8,BC8,IF(AC13&lt;AL9,BC9,IF(AC13&lt;AL10,BC10,IF(AC13&lt;AL11,BC11,IF(AC13&lt;AL12,BC12,IF(AC13&lt;AL13,BC13,IF(AC13&lt;AL14,BC14,IF(AC13&lt;AL15,BC15,BC16))))))))))</f>
        <v>8020.0000000000009</v>
      </c>
      <c r="AD14" s="75">
        <f>IF(AD13&lt;AL6,BD6,IF(AD13&lt;AL7,BD7,IF(AD13&lt;AL8,BD8,IF(AD13&lt;AL9,BD9,IF(AD13&lt;AL10,BD10,IF(AD13&lt;AL11,BD11,IF(AD13&lt;AL12,BD12,IF(AD13&lt;AL13,BD13,IF(AD13&lt;AL14,BD14,IF(AD13&lt;AL15,BD15,BD16))))))))))</f>
        <v>-15869.550653365233</v>
      </c>
      <c r="AE14" s="75">
        <f>IF(AE13&lt;AL6,BE6,IF(AE13&lt;AL7,BE7,IF(AE13&lt;AL8,BE8,IF(AE13&lt;AL9,BE9,IF(AE13&lt;AL10,BE10,IF(AE13&lt;AL11,BE11,IF(AE13&lt;AL12,BE12,IF(AE13&lt;AL13,BE13,IF(AE13&lt;AL14,BE14,IF(AE13&lt;AL15,BE15,BE16))))))))))</f>
        <v>8020.0000000000009</v>
      </c>
      <c r="AF14" s="75" t="e">
        <f>IF(AF13&lt;AL6,BF6,IF(AF13&lt;AL7,BF7,IF(AF13&lt;AL8,BF8,IF(AF13&lt;AL9,BF9,IF(AF13&lt;AL10,BF10,IF(AF13&lt;AL11,BF11,IF(AF13&lt;AL12,BF12,IF(AF13&lt;AL13,BF13,IF(AF13&lt;AL14,BF14,IF(AF13&lt;AL15,BF15,BF16))))))))))</f>
        <v>#VALUE!</v>
      </c>
      <c r="AG14" s="75">
        <f>IF(AG13&lt;AL6,BG6,IF(AG13&lt;AL7,BG7,IF(AG13&lt;AL8,BG8,IF(AG13&lt;AL9,BG9,IF(AG13&lt;AL10,BG10,IF(AG13&lt;AL11,BG11,IF(AG13&lt;AL12,BG12,IF(AG13&lt;AL13,BG13,IF(AG13&lt;AL14,BG14,IF(AG13&lt;AL15,BG15,BG16))))))))))</f>
        <v>85068.084700000021</v>
      </c>
      <c r="AH14" s="75" t="e">
        <f>IF(AH13&lt;AL6,BH6,IF(AH13&lt;AL7,BH7,IF(AH13&lt;AL8,BH8,IF(AH13&lt;AL9,BH9,IF(AH13&lt;AL10,BH10,IF(AH13&lt;AL11,BH11,IF(AH13&lt;AL12,BH12,IF(AH13&lt;AL13,BH13,IF(AH13&lt;AL14,BH14,IF(AH13&lt;AL15,BH15,BH16))))))))))</f>
        <v>#REF!</v>
      </c>
      <c r="AI14" s="75" t="e">
        <f>IF(AI13&lt;AL6,BI6,IF(AI13&lt;AL7,BI7,IF(AI13&lt;AL8,BI8,IF(AI13&lt;AL9,BI9,IF(AI13&lt;AL10,BI10,IF(AI13&lt;AL11,BI11,IF(AI13&lt;AL12,BI12,IF(AI13&lt;AL13,BI13,IF(AI13&lt;AL14,BI14,IF(AI13&lt;AL15,BI15,BI16))))))))))</f>
        <v>#REF!</v>
      </c>
      <c r="AJ14" s="3">
        <f>IF(S13&lt;AL6,AN6,IF(S13&lt;AL7,AN7,IF(S13&lt;AL8,AN8,IF(S13&lt;AL9,AN9,IF(S13&lt;AL10,AN10,IF(S13&lt;AL11,AN11,IF(S13&lt;AL12,AN12,IF(S13&lt;AL13,AN13,IF(S13&lt;AL14,AN14,IF(S13&lt;AL15,AN15,AN16))))))))))</f>
        <v>6.3899999999999998E-2</v>
      </c>
      <c r="AK14" s="67">
        <f t="shared" si="5"/>
        <v>150001</v>
      </c>
      <c r="AL14" s="68">
        <v>205842</v>
      </c>
      <c r="AM14" s="69">
        <v>0.47970000000000002</v>
      </c>
      <c r="AN14" s="70">
        <v>0.31669999999999998</v>
      </c>
      <c r="AO14" s="70">
        <v>0.40389999999999998</v>
      </c>
      <c r="AP14" s="71">
        <f t="shared" si="0"/>
        <v>55841</v>
      </c>
      <c r="AQ14" s="71">
        <f t="shared" si="1"/>
        <v>26786.9277</v>
      </c>
      <c r="AR14" s="72">
        <f t="shared" si="6"/>
        <v>75575.380100000009</v>
      </c>
      <c r="AS14" s="73">
        <f>AR13+AM14*(S12-AK14)</f>
        <v>434.21270000000368</v>
      </c>
      <c r="AT14" s="73">
        <f>AR13+AM14*(T12-AK14)</f>
        <v>84280.97570000001</v>
      </c>
      <c r="AU14" s="42">
        <f>AR13+AM14*(U12-AK14)</f>
        <v>-1539.3882279999962</v>
      </c>
      <c r="AV14" s="43">
        <f>AR13+AM14*(V12-AK14)</f>
        <v>88234.778227999996</v>
      </c>
      <c r="AW14" s="43">
        <f>AR13+AM14*(W12-AK14)</f>
        <v>1424.3135000000038</v>
      </c>
      <c r="AX14" s="43">
        <f>AR13+AM14*(X12-AK14)</f>
        <v>85271.076499999996</v>
      </c>
      <c r="AY14" s="43">
        <f>AR13+AM14*(Y12-AK14)</f>
        <v>86261.17730000001</v>
      </c>
      <c r="AZ14" s="43">
        <f>AR13+AM14*(Z12-AK14)</f>
        <v>-23167.027299999994</v>
      </c>
      <c r="BA14" s="43">
        <f>AR13+AM14*(AA12-AK14)</f>
        <v>-3857.9958661332421</v>
      </c>
      <c r="BB14" s="43">
        <f>AR13+AM14*(AB12-AK14)</f>
        <v>-23167.027299999994</v>
      </c>
      <c r="BC14" s="43">
        <f>AR13+AM14*(AC12-AK14)</f>
        <v>-3979.0273000000016</v>
      </c>
      <c r="BD14" s="43">
        <f>AR13+AM14*(AD12-AK14)</f>
        <v>-22479.840920062888</v>
      </c>
      <c r="BE14" s="43">
        <f>AR13+AM14*(AE12-AK14)</f>
        <v>-3979.0273000000016</v>
      </c>
      <c r="BF14" s="43" t="e">
        <f>AR13+AM14*(AF12-AK14)</f>
        <v>#VALUE!</v>
      </c>
      <c r="BG14" s="43">
        <f>AR13+AM14*(AG12-AK14)</f>
        <v>84280.97570000001</v>
      </c>
      <c r="BH14" s="43">
        <f>AR13+AM14*(AH12-AK14)</f>
        <v>-23167.027299999994</v>
      </c>
      <c r="BI14" s="43">
        <f>AR13+AM14*(AI12-AK14)</f>
        <v>-3979.0273000000016</v>
      </c>
      <c r="BJ14" s="43">
        <f>S6*AO14</f>
        <v>0</v>
      </c>
      <c r="BK14" s="43">
        <f>T6*AO14</f>
        <v>0</v>
      </c>
      <c r="BL14" s="43">
        <f>U6*AO14</f>
        <v>0</v>
      </c>
      <c r="BM14" s="43">
        <f>V6*AO14</f>
        <v>0</v>
      </c>
      <c r="BN14" s="43">
        <f>W6*AO14</f>
        <v>0</v>
      </c>
      <c r="BO14" s="43">
        <f>X6*AO14</f>
        <v>0</v>
      </c>
      <c r="BP14" s="43">
        <f>Y6*AO14</f>
        <v>0</v>
      </c>
      <c r="BQ14" s="43">
        <f>Z6*AO14</f>
        <v>40390</v>
      </c>
      <c r="BR14" s="43">
        <f>AA6*AO14</f>
        <v>0</v>
      </c>
      <c r="BS14" s="43">
        <f>AB6*AO14</f>
        <v>40390</v>
      </c>
      <c r="BT14" s="43">
        <f>AC6*AO14</f>
        <v>0</v>
      </c>
      <c r="BU14" s="43">
        <f>AD6*AO14</f>
        <v>40390</v>
      </c>
      <c r="BV14" s="43">
        <f>AE6*AO14</f>
        <v>0</v>
      </c>
      <c r="BW14" s="43">
        <f>AF6*AO14</f>
        <v>0</v>
      </c>
      <c r="BX14" s="43">
        <f>AG6*AO14</f>
        <v>138941.6</v>
      </c>
      <c r="BY14" s="43" t="e">
        <f>AH6*AO14</f>
        <v>#REF!</v>
      </c>
      <c r="BZ14" s="43" t="e">
        <f>AI6*AO14</f>
        <v>#REF!</v>
      </c>
      <c r="CA14" s="44">
        <f>AN14*S8</f>
        <v>0</v>
      </c>
      <c r="CB14" s="44">
        <f>AN14*T8</f>
        <v>0</v>
      </c>
      <c r="CC14" s="44">
        <f>AN14*U8</f>
        <v>2189.7904799999997</v>
      </c>
      <c r="CD14" s="44">
        <f>AN14*V8</f>
        <v>0</v>
      </c>
      <c r="CE14" s="44">
        <f>AN14*W8</f>
        <v>1094.8952399999998</v>
      </c>
      <c r="CF14" s="44">
        <f>AN14*X8</f>
        <v>1094.8952399999998</v>
      </c>
      <c r="CG14" s="44">
        <f>AN14*Y8</f>
        <v>2189.7904799999997</v>
      </c>
      <c r="CH14" s="44">
        <f>AN14*Z8</f>
        <v>0</v>
      </c>
      <c r="CI14" s="44">
        <f>AN14*AA8</f>
        <v>3159.9230451821827</v>
      </c>
      <c r="CJ14" s="44">
        <f>AN14*AB8</f>
        <v>0</v>
      </c>
      <c r="CK14" s="44">
        <f>AN14*AC8</f>
        <v>0</v>
      </c>
      <c r="CL14" s="44">
        <f>AN14*AD8</f>
        <v>916.48606241007928</v>
      </c>
      <c r="CM14" s="44">
        <f>AN14*AE8</f>
        <v>0</v>
      </c>
      <c r="CN14" s="44">
        <f>AN14*AF8</f>
        <v>0</v>
      </c>
      <c r="CO14" s="44">
        <f>AN14*AG8</f>
        <v>0</v>
      </c>
      <c r="CP14" s="44">
        <f>AN14*AH8</f>
        <v>0</v>
      </c>
      <c r="CQ14" s="44">
        <f>AN14*AI8</f>
        <v>1.3637822395774725E-2</v>
      </c>
      <c r="CR14" s="4"/>
      <c r="CS14" s="76"/>
      <c r="CT14" s="4"/>
      <c r="CU14" s="4"/>
      <c r="CV14" s="4"/>
      <c r="CW14" s="4"/>
      <c r="CX14" s="4"/>
      <c r="CY14" s="4"/>
      <c r="CZ14" s="4"/>
      <c r="DA14" s="4"/>
      <c r="DB14" s="4"/>
      <c r="DC14" s="4"/>
      <c r="DD14" s="4"/>
      <c r="DE14" s="4"/>
    </row>
    <row r="15" spans="1:116" ht="15" customHeight="1" thickBot="1" x14ac:dyDescent="0.3">
      <c r="A15" s="23"/>
      <c r="B15" s="182" t="s">
        <v>123</v>
      </c>
      <c r="C15" s="184"/>
      <c r="D15" s="4"/>
      <c r="E15" s="273" t="s">
        <v>128</v>
      </c>
      <c r="F15" s="274"/>
      <c r="G15" s="275">
        <v>0.05</v>
      </c>
      <c r="H15" s="276">
        <f>G6*G15</f>
        <v>17200</v>
      </c>
      <c r="I15" s="4"/>
      <c r="J15" s="4"/>
      <c r="K15" s="4"/>
      <c r="L15" s="448" t="s">
        <v>29</v>
      </c>
      <c r="M15" s="449"/>
      <c r="N15" s="37" t="s">
        <v>12</v>
      </c>
      <c r="O15" s="37" t="s">
        <v>30</v>
      </c>
      <c r="P15" s="23"/>
      <c r="Q15" s="2"/>
      <c r="R15" s="3" t="s">
        <v>47</v>
      </c>
      <c r="S15" s="2">
        <f>IF(S13&lt;AL6,BJ6,IF(S13&lt;AL7,BJ7,IF(S13&lt;AL8,BJ8,IF(S13&lt;AL9,BJ9,IF(S13&lt;AL10,BJ10,IF(S13&lt;AL11,BJ11,IF(S13&lt;AL12,BJ12,IF(S13&lt;AL13,BJ13,IF(S13&lt;AL14,BJ14,IF(S13&lt;AL15,BJ15,BJ16))))))))))</f>
        <v>0</v>
      </c>
      <c r="T15" s="2">
        <f>IF(T13&lt;AL6,BK6,IF(T13&lt;AL7,BK7,IF(T13&lt;AL8,BK8,IF(T13&lt;AL9,BK9,IF(T13&lt;AL10,BK10,IF(T13&lt;AL11,BK11,IF(T13&lt;AL12,BK12,IF(T13&lt;AL13,BK13,IF(T13&lt;AL14,BK14,IF(T13&lt;AL15,BK15,BK16))))))))))</f>
        <v>0</v>
      </c>
      <c r="U15" s="2">
        <f>IF(U13&lt;AL6,BL6,IF(U13&lt;AL7,BL7,IF(U13&lt;AL8,BL8,IF(U13&lt;AL9,BL9,IF(U13&lt;AL10,BL10,IF(U13&lt;AL11,BL11,IF(U13&lt;AL12,BL12,IF(U13&lt;AL13,BL13,IF(U13&lt;AL14,BL14,IF(U13&lt;AL15,BL15,BL16))))))))))</f>
        <v>0</v>
      </c>
      <c r="V15" s="2">
        <f>IF(V13&lt;AL6,BM6,IF(V13&lt;AL7,BM7,IF(V13&lt;AL8,BM8,IF(V13&lt;AL9,BM9,IF(V13&lt;AL10,BM10,IF(V13&lt;AL11,BM11,IF(V13&lt;AL12,BM12,IF(V13&lt;AL13,BM13,IF(V13&lt;AL14,BM14,IF(V13&lt;AL15,BM15,BM16))))))))))</f>
        <v>0</v>
      </c>
      <c r="W15" s="2">
        <f>IF(W13&lt;AL6,BN6,IF(W13&lt;AL7,BN7,IF(W13&lt;AL8,BN8,IF(W13&lt;AL9,BN9,IF(W13&lt;AL10,BN10,IF(W13&lt;AL11,BN11,IF(W13&lt;AL12,BN12,IF(W13&lt;AL13,BN13,IF(W13&lt;AL14,BN14,IF(W13&lt;AL15,BN15,BN16))))))))))</f>
        <v>0</v>
      </c>
      <c r="X15" s="2">
        <f>IF(X13&lt;AL6,BO6,IF(X13&lt;AL7,BO7,IF(X13&lt;AL8,BO8,IF(X13&lt;AL9,BO9,IF(X13&lt;AL10,BO10,IF(X13&lt;AL11,BO11,IF(X13&lt;AL12,BO12,IF(X13&lt;AL13,BO13,IF(X13&lt;AL14,BO14,IF(X13&lt;AL15,BO15,BO16))))))))))</f>
        <v>0</v>
      </c>
      <c r="Y15" s="2">
        <f>IF(Y13&lt;AL6,BP6,IF(Y13&lt;AL7,BP7,IF(Y13&lt;AL8,BP8,IF(Y13&lt;AL9,BP9,IF(Y13&lt;AL10,BP10,IF(Y13&lt;AL11,BP11,IF(Y13&lt;AL12,BP12,IF(Y13&lt;AL13,BP13,IF(Y13&lt;AL14,BP14,IF(Y13&lt;AL15,BP15,BP16))))))))))</f>
        <v>0</v>
      </c>
      <c r="Z15" s="2">
        <f>IF(Z13&lt;AL6,BQ6,IF(Z13&lt;AL7,BQ7,IF(Z13&lt;AL8,BQ8,IF(Z13&lt;AL9,BQ9,IF(Z13&lt;AL10,BQ10,IF(Z13&lt;AL11,BQ11,IF(Z13&lt;AL12,BQ12,IF(Z13&lt;AL13,BQ13,IF(Z13&lt;AL14,BQ14,IF(Z13&lt;AL15,BQ15,BQ16))))))))))</f>
        <v>35100</v>
      </c>
      <c r="AA15" s="2">
        <f>IF(AA13&lt;AL6,BR6,IF(AA13&lt;AL7,BR7,IF(AA13&lt;AL8,BR8,IF(AA13&lt;AL9,BR9,IF(AA13&lt;AL10,BR10,IF(AA13&lt;AL11,BR11,IF(AA13&lt;AL12,BR12,IF(AA13&lt;AL13,BR13,IF(AA13&lt;AL14,BR14,IF(AA13&lt;AL15,BR15,BR16))))))))))</f>
        <v>0</v>
      </c>
      <c r="AB15" s="2">
        <f>IF(AB13&lt;AL6,BS6,IF(AB13&lt;AL7,BS7,IF(AB13&lt;AL8,BS8,IF(AB13&lt;AL9,BS9,IF(AB13&lt;AL10,BS10,IF(AB13&lt;AL11,BS11,IF(AB13&lt;AL12,BS12,IF(AB13&lt;AL13,BS13,IF(AB13&lt;AL14,BS14,IF(AB13&lt;AL15,BS15,BS16))))))))))</f>
        <v>35100</v>
      </c>
      <c r="AC15" s="2">
        <f>IF(AC13&lt;AL6,BT6,IF(AC13&lt;AL7,BT7,IF(AC13&lt;AL8,BT8,IF(AC13&lt;AL9,BT9,IF(AC13&lt;AL10,BT10,IF(AC13&lt;AL11,BT11,IF(AC13&lt;AL12,BT12,IF(AC13&lt;AL13,BT13,IF(AC13&lt;AL14,BT14,IF(AC13&lt;AL15,BT15,BT16))))))))))</f>
        <v>0</v>
      </c>
      <c r="AD15" s="2">
        <f>IF(AD13&lt;AL6,BU6,IF(AD13&lt;AL7,BU7,IF(AD13&lt;AL8,BU8,IF(AD13&lt;AL9,BU9,IF(AD13&lt;AL10,BU10,IF(AD13&lt;AL11,BU11,IF(AD13&lt;AL12,BU12,IF(AD13&lt;AL13,BU13,IF(AD13&lt;AL14,BU14,IF(AD13&lt;AL15,BU15,BU16))))))))))</f>
        <v>35100</v>
      </c>
      <c r="AE15" s="2">
        <f>IF(AE13&lt;AL6,BV6,IF(AE13&lt;AL7,BV7,IF(AE13&lt;AL8,BV8,IF(AE13&lt;AL9,BV9,IF(AE13&lt;AL10,BV10,IF(AE13&lt;AL11,BV11,IF(AE13&lt;AL12,BV12,IF(AE13&lt;AL13,BV13,IF(AE13&lt;AL14,BV14,IF(AE13&lt;AL15,BV15,BV16))))))))))</f>
        <v>0</v>
      </c>
      <c r="AF15" s="2" t="e">
        <f>IF(AF13&lt;AL6,BW6,IF(AF13&lt;AL7,BW7,IF(AF13&lt;AL8,BW8,IF(AF13&lt;AL9,BW9,IF(AF13&lt;AL10,BW10,IF(AF13&lt;AL11,BW11,IF(AF13&lt;AL12,BW12,IF(AF13&lt;AL13,BW13,IF(AF13&lt;AL14,BW14,IF(AF13&lt;AL15,BW15,BW16))))))))))</f>
        <v>#VALUE!</v>
      </c>
      <c r="AG15" s="2">
        <f>IF(AG13&lt;AL6,BX6,IF(AG13&lt;AL7,BX7,IF(AG13&lt;AL8,BX8,IF(AG13&lt;AL9,BX9,IF(AG13&lt;AL10,BX10,IF(AG13&lt;AL11,BX11,IF(AG13&lt;AL12,BX12,IF(AG13&lt;AL13,BX13,IF(AG13&lt;AL14,BX14,IF(AG13&lt;AL15,BX15,BX16))))))))))</f>
        <v>161129.60000000001</v>
      </c>
      <c r="AH15" s="2" t="e">
        <f>IF(AH13&lt;AL6,BY6,IF(AH13&lt;AL7,BY7,IF(AH13&lt;AL8,BY8,IF(AH13&lt;AL9,BY9,IF(AH13&lt;AL10,BY10,IF(AH13&lt;AL11,BY11,IF(AH13&lt;AL12,BY12,IF(AH13&lt;AL13,BY13,IF(AH13&lt;AL14,BY14,IF(AH13&lt;AL15,BY15,BY16))))))))))</f>
        <v>#REF!</v>
      </c>
      <c r="AI15" s="2" t="e">
        <f>IF(AI13&lt;AL6,BZ6,IF(AI13&lt;AL7,BZ7,IF(AI13&lt;AL8,BZ8,IF(AI13&lt;AL9,BZ9,IF(AI13&lt;AL10,BZ10,IF(AI13&lt;AL11,BZ11,IF(AI13&lt;AL12,BZ12,IF(AI13&lt;AL13,BZ13,IF(AI13&lt;AL14,BZ14,IF(AI13&lt;AL15,BZ15,BZ16))))))))))</f>
        <v>#REF!</v>
      </c>
      <c r="AJ15" s="25" t="s">
        <v>48</v>
      </c>
      <c r="AK15" s="67">
        <f t="shared" si="5"/>
        <v>205843</v>
      </c>
      <c r="AL15" s="68">
        <v>220000</v>
      </c>
      <c r="AM15" s="69">
        <v>0.51970000000000005</v>
      </c>
      <c r="AN15" s="70">
        <v>0.37190000000000001</v>
      </c>
      <c r="AO15" s="70">
        <v>0.45029999999999998</v>
      </c>
      <c r="AP15" s="71">
        <f t="shared" si="0"/>
        <v>14157</v>
      </c>
      <c r="AQ15" s="71">
        <f t="shared" si="1"/>
        <v>7357.3929000000007</v>
      </c>
      <c r="AR15" s="72">
        <f t="shared" si="6"/>
        <v>82932.773000000016</v>
      </c>
      <c r="AS15" s="73">
        <f>AR14+AM15*(S12-AK15)</f>
        <v>-5831.9869999999937</v>
      </c>
      <c r="AT15" s="73">
        <f>AR14+AM15*(T12-AK15)</f>
        <v>85006.376000000018</v>
      </c>
      <c r="AU15" s="42">
        <f>AR14+AM15*(U12-AK15)</f>
        <v>-7970.1575279999961</v>
      </c>
      <c r="AV15" s="43">
        <f>AR14+AM15*(V12-AK15)</f>
        <v>89289.868128000002</v>
      </c>
      <c r="AW15" s="43">
        <f>AR14+AM15*(W12-AK15)</f>
        <v>-4759.3261999999959</v>
      </c>
      <c r="AX15" s="43">
        <f>AR14+AM15*(X12-AK15)</f>
        <v>86079.036800000016</v>
      </c>
      <c r="AY15" s="43">
        <f>AR14+AM15*(Y12-AK15)</f>
        <v>87151.697600000014</v>
      </c>
      <c r="AZ15" s="43">
        <f>AR14+AM15*(Z12-AK15)</f>
        <v>-31401.226999999999</v>
      </c>
      <c r="BA15" s="43">
        <f>AR14+AM15*(AA12-AK15)</f>
        <v>-10482.103305648212</v>
      </c>
      <c r="BB15" s="43">
        <f>AR14+AM15*(AB12-AK15)</f>
        <v>-31401.226999999999</v>
      </c>
      <c r="BC15" s="43">
        <f>AR14+AM15*(AC12-AK15)</f>
        <v>-10613.226999999999</v>
      </c>
      <c r="BD15" s="43">
        <f>AR14+AM15*(AD12-AK15)</f>
        <v>-30656.739275060841</v>
      </c>
      <c r="BE15" s="43">
        <f>AR14+AM15*(AE12-AK15)</f>
        <v>-10613.226999999999</v>
      </c>
      <c r="BF15" s="43" t="e">
        <f>AR14+AM15*(AF12-AK15)</f>
        <v>#VALUE!</v>
      </c>
      <c r="BG15" s="43">
        <f>AR14+AM15*(AG12-AK15)</f>
        <v>85006.376000000018</v>
      </c>
      <c r="BH15" s="43">
        <f>AR14+AM15*(AH12-AK15)</f>
        <v>-31401.226999999999</v>
      </c>
      <c r="BI15" s="43">
        <f>AR14+AM15*(AI12-AK15)</f>
        <v>-10613.226999999999</v>
      </c>
      <c r="BJ15" s="43">
        <f>S6*AO15</f>
        <v>0</v>
      </c>
      <c r="BK15" s="43">
        <f>T6*AO15</f>
        <v>0</v>
      </c>
      <c r="BL15" s="43">
        <f>U6*AO15</f>
        <v>0</v>
      </c>
      <c r="BM15" s="43">
        <f>V6*AO15</f>
        <v>0</v>
      </c>
      <c r="BN15" s="43">
        <f>W6*AO15</f>
        <v>0</v>
      </c>
      <c r="BO15" s="43">
        <f>X6*AO15</f>
        <v>0</v>
      </c>
      <c r="BP15" s="43">
        <f>Y6*AO15</f>
        <v>0</v>
      </c>
      <c r="BQ15" s="43">
        <f>Z6*AO15</f>
        <v>45030</v>
      </c>
      <c r="BR15" s="43">
        <f>AA6*AO15</f>
        <v>0</v>
      </c>
      <c r="BS15" s="43">
        <f>AB6*AO15</f>
        <v>45030</v>
      </c>
      <c r="BT15" s="43">
        <f>AC6*AO15</f>
        <v>0</v>
      </c>
      <c r="BU15" s="43">
        <f>AD6*AO15</f>
        <v>45030</v>
      </c>
      <c r="BV15" s="43">
        <f>AE6*AO15</f>
        <v>0</v>
      </c>
      <c r="BW15" s="43">
        <f>AF6*AO15</f>
        <v>0</v>
      </c>
      <c r="BX15" s="43">
        <f>AG6*AO15</f>
        <v>154903.19999999998</v>
      </c>
      <c r="BY15" s="43" t="e">
        <f>AH6*AO15</f>
        <v>#REF!</v>
      </c>
      <c r="BZ15" s="43" t="e">
        <f>AI6*AO15</f>
        <v>#REF!</v>
      </c>
      <c r="CA15" s="44">
        <f>AN15*S8</f>
        <v>0</v>
      </c>
      <c r="CB15" s="44">
        <f>AN15*T8</f>
        <v>0</v>
      </c>
      <c r="CC15" s="44">
        <f>AN15*U8</f>
        <v>2571.4653600000001</v>
      </c>
      <c r="CD15" s="44">
        <f>AN15*V8</f>
        <v>0</v>
      </c>
      <c r="CE15" s="44">
        <f>AN15*W8</f>
        <v>1285.7326800000001</v>
      </c>
      <c r="CF15" s="44">
        <f>AN15*X8</f>
        <v>1285.7326800000001</v>
      </c>
      <c r="CG15" s="44">
        <f>AN15*Y8</f>
        <v>2571.4653600000001</v>
      </c>
      <c r="CH15" s="44">
        <f>AN15*Z8</f>
        <v>0</v>
      </c>
      <c r="CI15" s="44">
        <f>AN15*AA8</f>
        <v>3710.6895500576379</v>
      </c>
      <c r="CJ15" s="44">
        <f>AN15*AB8</f>
        <v>0</v>
      </c>
      <c r="CK15" s="44">
        <f>AN15*AC8</f>
        <v>0</v>
      </c>
      <c r="CL15" s="44">
        <f>AN15*AD8</f>
        <v>1076.2272390600206</v>
      </c>
      <c r="CM15" s="44">
        <f>AN15*AE8</f>
        <v>0</v>
      </c>
      <c r="CN15" s="44">
        <f>AN15*AF8</f>
        <v>0</v>
      </c>
      <c r="CO15" s="44">
        <f>AN15*AG8</f>
        <v>0</v>
      </c>
      <c r="CP15" s="44">
        <f>AN15*AH8</f>
        <v>0</v>
      </c>
      <c r="CQ15" s="44">
        <f>AN15*AI8</f>
        <v>1.6014859958915759E-2</v>
      </c>
      <c r="CR15" s="76"/>
      <c r="CS15" s="76"/>
      <c r="CT15" s="4"/>
      <c r="CU15" s="4"/>
      <c r="CV15" s="4"/>
      <c r="CW15" s="4"/>
      <c r="CX15" s="4"/>
      <c r="CY15" s="4"/>
      <c r="CZ15" s="4"/>
      <c r="DA15" s="4"/>
      <c r="DB15" s="4"/>
      <c r="DC15" s="4"/>
      <c r="DD15" s="4"/>
      <c r="DE15" s="4"/>
    </row>
    <row r="16" spans="1:116" ht="15" customHeight="1" x14ac:dyDescent="0.25">
      <c r="A16" s="23"/>
      <c r="B16" s="178" t="s">
        <v>37</v>
      </c>
      <c r="C16" s="246">
        <v>250000</v>
      </c>
      <c r="D16" s="4"/>
      <c r="E16" s="277" t="s">
        <v>130</v>
      </c>
      <c r="F16" s="278"/>
      <c r="G16" s="279">
        <v>2.01E-2</v>
      </c>
      <c r="H16" s="280">
        <f>G6*(G16)</f>
        <v>6914.4</v>
      </c>
      <c r="I16" s="4"/>
      <c r="J16" s="4"/>
      <c r="K16" s="4"/>
      <c r="L16" s="49">
        <f>IF(C6="ON",AK6,IF(C6="AB",AK27,IF(C6="BC",AK58,IF(C6="MB",AK75,IF(C6="SK",AK92,IF(C6="PQ",AK109,IF(C6="NB",AK126,IF(C6="NS",AK143,IF(C6="NL",AK160,AK177)))))))))</f>
        <v>0</v>
      </c>
      <c r="M16" s="50">
        <f>IF(C6="ON",AL6,IF(C6="AB",AL27,IF(C6="BC",AL58,IF(C6="MB",AL75,IF(C6="SK",AL92,IF(C6="PQ",AL109,IF(C6="NB",AL126,IF(C6="NS",AL143,IF(C6="NL",AL160,AL177)))))))))</f>
        <v>42960</v>
      </c>
      <c r="N16" s="51">
        <f>IF(D7="ON",AM6,IF(D7="AB",AM27,IF(D7="BC",AM58,IF(D7="MB",AM75,IF(D7="SK",AM92,IF(D7="PQ",AM109,IF(D7="NB",AM126,IF(D7="NS",AM143,IF(D7="NL",AM160,AM177)))))))))</f>
        <v>0.20050000000000001</v>
      </c>
      <c r="O16" s="51">
        <f>IF(C6="ON",AN6,IF(C6="AB",AN27,IF(C6="BC",AN58,IF(C6="MB",AN75,IF(C6="SK",AN92,IF(C6="PQ",AN109,IF(C6="NB",AN126,IF(C6="NS",AN143,IF(C6="NL",AN160,AN177)))))))))</f>
        <v>-6.8599999999999994E-2</v>
      </c>
      <c r="P16" s="347"/>
      <c r="Q16" s="2"/>
      <c r="R16" s="3" t="s">
        <v>49</v>
      </c>
      <c r="S16" s="66">
        <f t="shared" ref="S16:AI16" si="17">CA17</f>
        <v>0</v>
      </c>
      <c r="T16" s="66">
        <f t="shared" si="17"/>
        <v>0</v>
      </c>
      <c r="U16" s="66">
        <f t="shared" si="17"/>
        <v>441.83015999999998</v>
      </c>
      <c r="V16" s="66">
        <f t="shared" si="17"/>
        <v>0</v>
      </c>
      <c r="W16" s="66">
        <f t="shared" si="17"/>
        <v>220.91507999999999</v>
      </c>
      <c r="X16" s="66">
        <f t="shared" si="17"/>
        <v>1360.0624800000001</v>
      </c>
      <c r="Y16" s="66">
        <f t="shared" si="17"/>
        <v>2720.1249600000001</v>
      </c>
      <c r="Z16" s="66">
        <f t="shared" si="17"/>
        <v>0</v>
      </c>
      <c r="AA16" s="66">
        <f t="shared" si="17"/>
        <v>637.57209531778176</v>
      </c>
      <c r="AB16" s="66">
        <f t="shared" si="17"/>
        <v>0</v>
      </c>
      <c r="AC16" s="66">
        <f t="shared" si="17"/>
        <v>0</v>
      </c>
      <c r="AD16" s="66">
        <f t="shared" si="17"/>
        <v>734.46214916222971</v>
      </c>
      <c r="AE16" s="66">
        <f t="shared" si="17"/>
        <v>0</v>
      </c>
      <c r="AF16" s="66" t="e">
        <f t="shared" si="17"/>
        <v>#VALUE!</v>
      </c>
      <c r="AG16" s="66">
        <f t="shared" si="17"/>
        <v>0</v>
      </c>
      <c r="AH16" s="66" t="e">
        <f t="shared" si="17"/>
        <v>#REF!</v>
      </c>
      <c r="AI16" s="66" t="e">
        <f t="shared" si="17"/>
        <v>#REF!</v>
      </c>
      <c r="AJ16" s="2" t="e">
        <f>IF(#REF!&lt;AL6,AM6,IF(#REF!&lt;AL7,AM7,IF(#REF!&lt;AL8,AM8,IF(#REF!&lt;AL9,AM9,IF(#REF!&lt;AL10,AM10,IF(#REF!&lt;AL11,AM11,IF(#REF!&lt;AL12,AM12,IF(#REF!&lt;AL13,AM13,IF(#REF!&lt;AL14,AM14,IF(#REF!&lt;AL15,AM15,AM16))))))))))</f>
        <v>#REF!</v>
      </c>
      <c r="AK16" s="67">
        <f t="shared" si="5"/>
        <v>220001</v>
      </c>
      <c r="AL16" s="260">
        <v>220001</v>
      </c>
      <c r="AM16" s="69">
        <v>0.5353</v>
      </c>
      <c r="AN16" s="70">
        <v>0.39340000000000003</v>
      </c>
      <c r="AO16" s="70">
        <v>0.46839999999999998</v>
      </c>
      <c r="AP16" s="71"/>
      <c r="AQ16" s="71"/>
      <c r="AR16" s="72"/>
      <c r="AS16" s="73">
        <f>AR15+AM16*(S12-AK16)</f>
        <v>-8497.0022999999783</v>
      </c>
      <c r="AT16" s="73">
        <f>AR15+AM16*(T12-AK16)</f>
        <v>85068.084700000021</v>
      </c>
      <c r="AU16" s="42">
        <f>AR15+AM16*(U12-AK16)</f>
        <v>-10699.354971999972</v>
      </c>
      <c r="AV16" s="43">
        <f>AR15+AM16*(V12-AK16)</f>
        <v>89480.155772000013</v>
      </c>
      <c r="AW16" s="43">
        <f>AR15+AM16*(W12-AK16)</f>
        <v>-7392.1430999999866</v>
      </c>
      <c r="AX16" s="43">
        <f>AR15+AM16*(X12-AK16)</f>
        <v>86172.943900000013</v>
      </c>
      <c r="AY16" s="43">
        <f>AR15+AM16*(Y12-AK16)</f>
        <v>87277.803100000019</v>
      </c>
      <c r="AZ16" s="43">
        <f>AR15+AM16*(Z12-AK16)</f>
        <v>-34833.762299999988</v>
      </c>
      <c r="BA16" s="43">
        <f>AR15+AM16*(AA12-AK16)</f>
        <v>-13286.702624059035</v>
      </c>
      <c r="BB16" s="43">
        <f>AR15+AM16*(AB12-AK16)</f>
        <v>-34833.762299999988</v>
      </c>
      <c r="BC16" s="43">
        <f>AR15+AM16*(AC12-AK16)</f>
        <v>-13421.762299999988</v>
      </c>
      <c r="BD16" s="43">
        <f>AR15+AM16*(AD12-AK16)</f>
        <v>-34066.927050510028</v>
      </c>
      <c r="BE16" s="43">
        <f>AR15+AM16*(AE12-AK16)</f>
        <v>-13421.762299999988</v>
      </c>
      <c r="BF16" s="43" t="e">
        <f>AR15+AM16*(AF12-AK16)</f>
        <v>#VALUE!</v>
      </c>
      <c r="BG16" s="43">
        <f>AR15+AM16*(AG12-AK16)</f>
        <v>85068.084700000021</v>
      </c>
      <c r="BH16" s="43">
        <f>AR15+AM16*(AH12-AK16)</f>
        <v>-34833.762299999988</v>
      </c>
      <c r="BI16" s="43">
        <f>AR15+AM16*(AI12-AK16)</f>
        <v>-13421.762299999988</v>
      </c>
      <c r="BJ16" s="43">
        <f>S6*AO16</f>
        <v>0</v>
      </c>
      <c r="BK16" s="43">
        <f>T6*AO16</f>
        <v>0</v>
      </c>
      <c r="BL16" s="43">
        <f>U6*AO16</f>
        <v>0</v>
      </c>
      <c r="BM16" s="43">
        <f>V6*AO16</f>
        <v>0</v>
      </c>
      <c r="BN16" s="43">
        <f>W6*AO16</f>
        <v>0</v>
      </c>
      <c r="BO16" s="43">
        <f>X6*AO16</f>
        <v>0</v>
      </c>
      <c r="BP16" s="43">
        <f>Y6*AO16</f>
        <v>0</v>
      </c>
      <c r="BQ16" s="43">
        <f>Z6*AO16</f>
        <v>46840</v>
      </c>
      <c r="BR16" s="43">
        <f>AA6*AO16</f>
        <v>0</v>
      </c>
      <c r="BS16" s="43">
        <f>AB6*AO16</f>
        <v>46840</v>
      </c>
      <c r="BT16" s="43">
        <f>AC6*AO16</f>
        <v>0</v>
      </c>
      <c r="BU16" s="43">
        <f>AD6*AO16</f>
        <v>46840</v>
      </c>
      <c r="BV16" s="43">
        <f>AE6*AO16</f>
        <v>0</v>
      </c>
      <c r="BW16" s="43">
        <f>AF6*AO16</f>
        <v>0</v>
      </c>
      <c r="BX16" s="43">
        <f>AG6*AO16</f>
        <v>161129.60000000001</v>
      </c>
      <c r="BY16" s="43" t="e">
        <f>AH6*AO16</f>
        <v>#REF!</v>
      </c>
      <c r="BZ16" s="43" t="e">
        <f>AI6*AO16</f>
        <v>#REF!</v>
      </c>
      <c r="CA16" s="44">
        <f>AN16*S8</f>
        <v>0</v>
      </c>
      <c r="CB16" s="44">
        <f>AN16*T8</f>
        <v>0</v>
      </c>
      <c r="CC16" s="44">
        <f>AN16*U8</f>
        <v>2720.1249600000001</v>
      </c>
      <c r="CD16" s="44">
        <f>AN16*V8</f>
        <v>0</v>
      </c>
      <c r="CE16" s="44">
        <f>AN16*W8</f>
        <v>1360.0624800000001</v>
      </c>
      <c r="CF16" s="44">
        <f>AN16*X8</f>
        <v>1360.0624800000001</v>
      </c>
      <c r="CG16" s="44">
        <f>AN16*Y8</f>
        <v>2720.1249600000001</v>
      </c>
      <c r="CH16" s="44">
        <f>AN16*Z8</f>
        <v>0</v>
      </c>
      <c r="CI16" s="44">
        <f>AN16*AA8</f>
        <v>3925.2091126449982</v>
      </c>
      <c r="CJ16" s="44">
        <f>AN16*AB8</f>
        <v>0</v>
      </c>
      <c r="CK16" s="44">
        <f>AN16*AC8</f>
        <v>0</v>
      </c>
      <c r="CL16" s="44">
        <f>AN16*AD8</f>
        <v>1138.4452698204143</v>
      </c>
      <c r="CM16" s="44">
        <f>AN16*AE8</f>
        <v>0</v>
      </c>
      <c r="CN16" s="44">
        <f>AN16*AF8</f>
        <v>0</v>
      </c>
      <c r="CO16" s="44">
        <f>AN16*AG8</f>
        <v>0</v>
      </c>
      <c r="CP16" s="44">
        <f>AN16*AH8</f>
        <v>0</v>
      </c>
      <c r="CQ16" s="44">
        <f>AN16*AI8</f>
        <v>1.6940698864849314E-2</v>
      </c>
      <c r="CR16" s="76"/>
      <c r="CS16" s="76"/>
      <c r="CT16" s="4"/>
      <c r="CU16" s="4"/>
      <c r="CV16" s="4"/>
      <c r="CW16" s="4"/>
      <c r="CX16" s="4"/>
      <c r="CY16" s="4"/>
      <c r="CZ16" s="4"/>
      <c r="DA16" s="4"/>
      <c r="DB16" s="4"/>
      <c r="DC16" s="4"/>
      <c r="DD16" s="4"/>
      <c r="DE16" s="4"/>
    </row>
    <row r="17" spans="1:116" ht="15" customHeight="1" x14ac:dyDescent="0.25">
      <c r="A17" s="23"/>
      <c r="B17" s="179" t="s">
        <v>18</v>
      </c>
      <c r="C17" s="245">
        <v>26010</v>
      </c>
      <c r="D17" s="81"/>
      <c r="E17" s="273" t="s">
        <v>131</v>
      </c>
      <c r="F17" s="274"/>
      <c r="G17" s="275">
        <v>1.2E-2</v>
      </c>
      <c r="H17" s="276">
        <f>G17*G6</f>
        <v>4128</v>
      </c>
      <c r="I17" s="4"/>
      <c r="J17" s="4"/>
      <c r="K17" s="4"/>
      <c r="L17" s="55">
        <f>IF(C6="ON",AK7,IF(C6="AB",AK28,IF(C6="BC",AK59,IF(C6="MB",AK76,IF(C6="SK",AK93,IF(C6="PQ",AK110,IF(C6="NB",AK127,IF(C6="NS",AK144,IF(C6="NL",AK161,AK178)))))))))</f>
        <v>42961</v>
      </c>
      <c r="M17" s="56">
        <f>IF(C6="ON",AL7,IF(C6="AB",AL28,IF(C6="BC",AL59,IF(C6="MB",AL76,IF(C6="SK",AL93,IF(C6="PQ",AL110,IF(C6="NB",AL127,IF(C6="NS",AL144,IF(C6="NL",AL161,AL178)))))))))</f>
        <v>46605</v>
      </c>
      <c r="N17" s="57">
        <f>IF(D7="ON",AM7,IF(D7="AB",AM28,IF(D7="BC",AM59,IF(D7="MB",AM76,IF(D7="SK",AM93,IF(D7="PQ",AM110,IF(D7="NB",AM127,IF(D7="NS",AM144,IF(D7="NL",AM161,AM178)))))))))</f>
        <v>0.24149999999999999</v>
      </c>
      <c r="O17" s="57">
        <f>IF(C6="ON",AN7,IF(C6="AB",AN28,IF(C6="BC",AN59,IF(C6="MB",AN76,IF(C6="SK",AN93,IF(C6="PQ",AN110,IF(C6="NB",AN127,IF(C6="NS",AN144,IF(C6="NL",AN161,AN178)))))))))</f>
        <v>-1.2E-2</v>
      </c>
      <c r="P17" s="347"/>
      <c r="Q17" s="2"/>
      <c r="R17" s="3" t="s">
        <v>50</v>
      </c>
      <c r="S17" s="75"/>
      <c r="T17" s="72"/>
      <c r="U17" s="85">
        <f>U18-S18</f>
        <v>-778.04199999999946</v>
      </c>
      <c r="V17" s="85">
        <f>V18-T18</f>
        <v>4412.0710719999915</v>
      </c>
      <c r="W17" s="85">
        <f>W18-S18</f>
        <v>832.89108000000124</v>
      </c>
      <c r="X17" s="85">
        <f>X18-T18</f>
        <v>2464.9216799999849</v>
      </c>
      <c r="Y17" s="85">
        <f>Y18-T18</f>
        <v>4929.8433599999989</v>
      </c>
      <c r="Z17" s="85">
        <f t="shared" ref="Z17:AE17" si="18">Z18-U18</f>
        <v>9124.0015000000003</v>
      </c>
      <c r="AA17" s="85">
        <f t="shared" si="18"/>
        <v>-81232.947795836924</v>
      </c>
      <c r="AB17" s="85">
        <f t="shared" si="18"/>
        <v>7513.0684199999996</v>
      </c>
      <c r="AC17" s="85">
        <f t="shared" si="18"/>
        <v>-79513.006380000006</v>
      </c>
      <c r="AD17" s="85">
        <f t="shared" si="18"/>
        <v>-70033.016564203019</v>
      </c>
      <c r="AE17" s="85">
        <f t="shared" si="18"/>
        <v>-10588.586500000001</v>
      </c>
      <c r="AF17" s="85" t="e">
        <f>AF18-S18</f>
        <v>#VALUE!</v>
      </c>
      <c r="AG17" s="85">
        <f>AG18-T18</f>
        <v>161129.60000000003</v>
      </c>
      <c r="AH17" s="85" t="e">
        <f>AH18-U18</f>
        <v>#REF!</v>
      </c>
      <c r="AI17" s="85" t="e">
        <f>AI18-V18</f>
        <v>#REF!</v>
      </c>
      <c r="AJ17" s="2" t="s">
        <v>51</v>
      </c>
      <c r="AK17" s="2"/>
      <c r="AL17" s="66"/>
      <c r="AM17" s="2"/>
      <c r="AN17" s="2"/>
      <c r="AO17" s="2"/>
      <c r="AP17" s="86"/>
      <c r="AQ17" s="86"/>
      <c r="AR17" s="86"/>
      <c r="AS17" s="86"/>
      <c r="AT17" s="87" t="s">
        <v>52</v>
      </c>
      <c r="AU17" s="87"/>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44">
        <f>IF(S13&lt;AL6,CA6,IF(S13&lt;AL7,CA7,IF(S13&lt;AL8,CA8,IF(S13&lt;AL9,CA9,IF(S13&lt;AL10,CA10,IF(S13&lt;AL11,CA11,IF(S13&lt;AL12,CA12,IF(S13&lt;AL13,CA13,IF(S13&lt;AL14,CA14,IF(S13&lt;AL15,CA15,CA16))))))))))</f>
        <v>0</v>
      </c>
      <c r="CB17" s="44">
        <f>IF(T13&lt;AL6,CB6,IF(T13&lt;AL7,CB7,IF(T13&lt;AL8,CB8,IF(T13&lt;AL9,CB9,IF(T13&lt;AL10,CB10,IF(T13&lt;AL11,CB11,IF(T13&lt;AL12,CB12,IF(T13&lt;AL13,CB13,IF(T13&lt;AL14,CB14,IF(T13&lt;AL15,CB15,CB16))))))))))</f>
        <v>0</v>
      </c>
      <c r="CC17" s="44">
        <f>IF(U13&lt;AL6,CC6,IF(U13&lt;AL7,CC7,IF(U13&lt;AL8,CC8,IF(U13&lt;AL9,CC9,IF(U13&lt;AL10,CC10,IF(U13&lt;AL11,CC11,IF(U13&lt;AL12,CC12,IF(U13&lt;AL13,CC13,IF(U13&lt;AL14,CC14,IF(U13&lt;AL15,CC15,CC16))))))))))</f>
        <v>441.83015999999998</v>
      </c>
      <c r="CD17" s="44">
        <f>IF(V13&lt;AL6,CD6,IF(V13&lt;AL7,CD7,IF(V13&lt;AL8,CD8,IF(V13&lt;AL9,CD9,IF(V13&lt;AL10,CD10,IF(V13&lt;AL11,CD11,IF(V13&lt;AL12,CD12,IF(V13&lt;AL13,CD13,IF(V13&lt;AL14,CD14,IF(V13&lt;AL15,CD15,CD16))))))))))</f>
        <v>0</v>
      </c>
      <c r="CE17" s="44">
        <f>IF(W13&lt;AL6,CE6,IF(W13&lt;AL7,CE7,IF(W13&lt;AL8,CE8,IF(W13&lt;AL9,CE9,IF(W13&lt;AL10,CE10,IF(W13&lt;AL11,CE11,IF(W13&lt;AL12,CE12,IF(W13&lt;AL13,CE13,IF(W13&lt;AL14,CE14,IF(W13&lt;AL15,CE15,CE16))))))))))</f>
        <v>220.91507999999999</v>
      </c>
      <c r="CF17" s="44">
        <f>IF(X13&lt;AL6,CF6,IF(X13&lt;AL7,CF7,IF(X13&lt;AL8,CF8,IF(X13&lt;AL9,CF9,IF(X13&lt;AL10,CF10,IF(X13&lt;AL11,CF11,IF(X13&lt;AL12,CF12,IF(X13&lt;AL13,CF13,IF(X13&lt;AL14,CF14,IF(X13&lt;AL15,CF15,CF16))))))))))</f>
        <v>1360.0624800000001</v>
      </c>
      <c r="CG17" s="44">
        <f>IF(Y13&lt;AL6,CG6,IF(Y13&lt;AL7,CG7,IF(Y13&lt;AL8,CG8,IF(Y13&lt;AL9,CG9,IF(Y13&lt;AL10,CG10,IF(Y13&lt;AL11,CG11,IF(Y13&lt;AL12,CG12,IF(Y13&lt;AL13,CG13,IF(Y13&lt;AL14,CG14,IF(Y13&lt;AL15,CG15,CG16))))))))))</f>
        <v>2720.1249600000001</v>
      </c>
      <c r="CH17" s="44">
        <f>IF(Z13&lt;AL6,CH6,IF(Z13&lt;AL7,CH7,IF(Z13&lt;AL8,CH8,IF(Z13&lt;AL9,CH9,IF(Z13&lt;AL10,CH10,IF(Z13&lt;AL11,CH11,IF(Z13&lt;AL12,CH12,IF(Z13&lt;AL13,CH13,IF(Z13&lt;AL14,CH14,IF(Z13&lt;AL15,CH15,CH16))))))))))</f>
        <v>0</v>
      </c>
      <c r="CI17" s="44">
        <f>IF(AA13&lt;AL6,CI6,IF(AA13&lt;AL7,CI7,IF(AA13&lt;AL8,CI8,IF(AA13&lt;AL9,CI9,IF(AA13&lt;AL10,CI10,IF(AA13&lt;AL11,CI11,IF(AA13&lt;AL12,CI12,IF(AA13&lt;AL13,CI13,IF(AA13&lt;AL14,CI14,IF(AA13&lt;AL15,CI15,CI16))))))))))</f>
        <v>637.57209531778176</v>
      </c>
      <c r="CJ17" s="44">
        <f>IF(AB13&lt;AL6,CJ6,IF(AB13&lt;AL7,CJ7,IF(AB13&lt;AL8,CJ8,IF(AB13&lt;AL9,CJ9,IF(AB13&lt;AL10,CJ10,IF(AB13&lt;AL11,CJ11,IF(AB13&lt;AL12,CJ12,IF(AB13&lt;AL13,CJ13,IF(AB13&lt;AL14,CJ14,IF(AB13&lt;AL15,CJ15,CJ16))))))))))</f>
        <v>0</v>
      </c>
      <c r="CK17" s="44">
        <f>IF(AC13&lt;AL6,CK6,IF(AC13&lt;AL7,CK7,IF(AC13&lt;AL8,CK8,IF(AC13&lt;AL9,CK9,IF(AC13&lt;AL10,CK10,IF(AC13&lt;AL11,CK11,IF(AC13&lt;AL12,CK12,IF(AC13&lt;AL13,CK13,IF(AC13&lt;AL14,CK14,IF(AC13&lt;AL15,CK15,CK16))))))))))</f>
        <v>0</v>
      </c>
      <c r="CL17" s="44">
        <f>IF(AD13&lt;AL6,CL6,IF(AD13&lt;AL7,CL7,IF(AD13&lt;AL8,CL8,IF(AD13&lt;AL9,CL9,IF(AD13&lt;AL10,CL10,IF(AD13&lt;AL11,CL11,IF(AD13&lt;AL12,CL12,IF(AD13&lt;AL13,CL13,IF(AD13&lt;AL14,CL14,IF(AD13&lt;AL15,CL15,CL16))))))))))</f>
        <v>734.46214916222971</v>
      </c>
      <c r="CM17" s="44">
        <f>IF(AE13&lt;AL6,CM6,IF(AE13&lt;AL7,CM7,IF(AE13&lt;AL8,CM8,IF(AE13&lt;AL9,CM9,IF(AE13&lt;AL10,CM10,IF(AE13&lt;AL11,CM11,IF(AE13&lt;AL12,CM12,IF(AE13&lt;AL13,CM13,IF(AE13&lt;AL14,CM14,IF(AE13&lt;AL15,CM15,CM16))))))))))</f>
        <v>0</v>
      </c>
      <c r="CN17" s="44" t="e">
        <f>IF(AF13&lt;AL6,CN6,IF(AF13&lt;AL7,CN7,IF(AF13&lt;AL8,CN8,IF(AF13&lt;AL9,CN9,IF(AF13&lt;AL10,CN10,IF(AF13&lt;AL11,CN11,IF(AF13&lt;AL12,CN12,IF(AF13&lt;AL13,CN13,IF(AF13&lt;AL14,CN14,IF(AF13&lt;AL15,CN15,CN16))))))))))</f>
        <v>#VALUE!</v>
      </c>
      <c r="CO17" s="44">
        <f>IF(AG13&lt;AL6,CO6,IF(AG13&lt;AL7,CO7,IF(AG13&lt;AL8,CO8,IF(AG13&lt;AL9,CO9,IF(AG13&lt;AL10,CO10,IF(AG13&lt;AL11,CO11,IF(AG13&lt;AL12,CO12,IF(AG13&lt;AL13,CO13,IF(AG13&lt;AL14,CO14,IF(AG13&lt;AL15,CO15,CO16))))))))))</f>
        <v>0</v>
      </c>
      <c r="CP17" s="44" t="e">
        <f>IF(AH13&lt;AL6,CP6,IF(AH13&lt;AL7,CP7,IF(AH13&lt;AL8,CP8,IF(AH13&lt;AL9,CP9,IF(AH13&lt;AL10,CP10,IF(AH13&lt;AL11,CP11,IF(AH13&lt;AL12,CP12,IF(AH13&lt;AL13,CP13,IF(AH13&lt;AL14,CP14,IF(AH13&lt;AL15,CP15,CP16))))))))))</f>
        <v>#REF!</v>
      </c>
      <c r="CQ17" s="44" t="e">
        <f>IF(AI13&lt;AL6,CQ6,IF(AI13&lt;AL7,CQ7,IF(AI13&lt;AL8,CQ8,IF(AI13&lt;AL9,CQ9,IF(AI13&lt;AL10,CQ10,IF(AI13&lt;AL11,CQ11,IF(AI13&lt;AL12,CQ12,IF(AI13&lt;AL13,CQ13,IF(AI13&lt;AL14,CQ14,IF(AI13&lt;AL15,CQ15,CQ16))))))))))</f>
        <v>#REF!</v>
      </c>
      <c r="CR17" s="76"/>
      <c r="CS17" s="76"/>
      <c r="CT17" s="4"/>
      <c r="CU17" s="4"/>
      <c r="CV17" s="4"/>
      <c r="CW17" s="4"/>
      <c r="CX17" s="4"/>
      <c r="CY17" s="4"/>
      <c r="CZ17" s="4"/>
      <c r="DA17" s="4"/>
      <c r="DB17" s="4"/>
      <c r="DC17" s="4"/>
      <c r="DD17" s="4"/>
      <c r="DE17" s="4"/>
    </row>
    <row r="18" spans="1:116" ht="15" customHeight="1" thickBot="1" x14ac:dyDescent="0.3">
      <c r="A18" s="23"/>
      <c r="B18" s="179" t="s">
        <v>31</v>
      </c>
      <c r="C18" s="245">
        <v>0</v>
      </c>
      <c r="D18" s="46"/>
      <c r="E18" s="189" t="s">
        <v>222</v>
      </c>
      <c r="F18" s="190"/>
      <c r="G18" s="270">
        <f>SUM(G15:G17)</f>
        <v>8.2099999999999992E-2</v>
      </c>
      <c r="H18" s="272">
        <f>SUM(H15:H17)</f>
        <v>28242.400000000001</v>
      </c>
      <c r="I18" s="4"/>
      <c r="J18" s="4"/>
      <c r="K18" s="4"/>
      <c r="L18" s="59">
        <f>IF(C6="ON",AK8,IF(C6="AB",AK29,IF(C6="BC",AK60,IF(C6="MB",AK77,IF(C6="SK",AK94,IF(C6="PQ",AK111,IF(C6="NB",AK128,IF(C6="NS",AK145,IF(C6="NL",AK162,AK179)))))))))</f>
        <v>46606</v>
      </c>
      <c r="M18" s="60">
        <f>IF(C6="ON",AL8,IF(C6="AB",AL29,IF(C6="BC",AL60,IF(C6="MB",AL77,IF(C6="SK",AL94,IF(C6="PQ",AL111,IF(C6="NB",AL128,IF(C6="NS",AL145,IF(C6="NL",AL162,AL179)))))))))</f>
        <v>75657</v>
      </c>
      <c r="N18" s="61">
        <f>IF(D7="ON",AM8,IF(D7="AB",AM29,IF(D7="BC",AM60,IF(D7="MB",AM77,IF(D7="SK",AM94,IF(D7="PQ",AM111,IF(D7="NB",AM128,IF(D7="NS",AM145,IF(D7="NL",AM162,AM179)))))))))</f>
        <v>0.29649999999999999</v>
      </c>
      <c r="O18" s="51">
        <f>IF(C6="ON",AN8,IF(C6="AB",AN29,IF(C6="BC",AN60,IF(C6="MB",AN77,IF(C6="SK",AN94,IF(C6="PQ",AN111,IF(C6="NB",AN128,IF(C6="NS",AN145,IF(C6="NL",AN162,AN179)))))))))</f>
        <v>6.3899999999999998E-2</v>
      </c>
      <c r="P18" s="347"/>
      <c r="Q18" s="2"/>
      <c r="R18" s="3" t="s">
        <v>53</v>
      </c>
      <c r="S18" s="72">
        <f t="shared" ref="S18:AI18" si="19">IF(S14+S15+S16-CV6-CV7&lt;0,0,S14+S15+S16-CV6-CV7)</f>
        <v>8003.7415000000001</v>
      </c>
      <c r="T18" s="72">
        <f t="shared" si="19"/>
        <v>82809.199200000017</v>
      </c>
      <c r="U18" s="72">
        <f t="shared" si="19"/>
        <v>7225.6995000000006</v>
      </c>
      <c r="V18" s="72">
        <f t="shared" si="19"/>
        <v>87221.270272000009</v>
      </c>
      <c r="W18" s="72">
        <f t="shared" si="19"/>
        <v>8836.6325800000013</v>
      </c>
      <c r="X18" s="72">
        <f t="shared" si="19"/>
        <v>85274.120880000002</v>
      </c>
      <c r="Y18" s="72">
        <f t="shared" si="19"/>
        <v>87739.042560000016</v>
      </c>
      <c r="Z18" s="72">
        <f t="shared" si="19"/>
        <v>16349.701000000001</v>
      </c>
      <c r="AA18" s="72">
        <f t="shared" si="19"/>
        <v>5988.3224761630918</v>
      </c>
      <c r="AB18" s="72">
        <f t="shared" si="19"/>
        <v>16349.701000000001</v>
      </c>
      <c r="AC18" s="72">
        <f t="shared" si="19"/>
        <v>5761.1145000000006</v>
      </c>
      <c r="AD18" s="72">
        <f t="shared" si="19"/>
        <v>17706.025995796997</v>
      </c>
      <c r="AE18" s="72">
        <f t="shared" si="19"/>
        <v>5761.1145000000006</v>
      </c>
      <c r="AF18" s="72" t="e">
        <f t="shared" si="19"/>
        <v>#VALUE!</v>
      </c>
      <c r="AG18" s="72">
        <f t="shared" si="19"/>
        <v>243938.79920000004</v>
      </c>
      <c r="AH18" s="72" t="e">
        <f t="shared" si="19"/>
        <v>#REF!</v>
      </c>
      <c r="AI18" s="72" t="e">
        <f t="shared" si="19"/>
        <v>#REF!</v>
      </c>
      <c r="AJ18" s="66"/>
      <c r="AK18" s="2"/>
      <c r="AL18" s="2"/>
      <c r="AM18" s="2"/>
      <c r="AN18" s="2"/>
      <c r="AO18" s="2"/>
      <c r="AP18" s="2"/>
      <c r="AQ18" s="2"/>
      <c r="AR18" s="2"/>
      <c r="AS18" s="2"/>
      <c r="AT18" s="87"/>
      <c r="AU18" s="87"/>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76"/>
      <c r="CS18" s="76"/>
      <c r="CT18" s="4"/>
      <c r="CU18" s="4"/>
      <c r="CV18" s="4"/>
      <c r="CW18" s="4"/>
      <c r="CX18" s="4"/>
      <c r="CY18" s="4"/>
      <c r="CZ18" s="4"/>
      <c r="DA18" s="4"/>
      <c r="DB18" s="4"/>
      <c r="DC18" s="4"/>
      <c r="DD18" s="4"/>
      <c r="DE18" s="4"/>
    </row>
    <row r="19" spans="1:116" ht="15" customHeight="1" thickBot="1" x14ac:dyDescent="0.3">
      <c r="A19" s="23"/>
      <c r="B19" s="179" t="s">
        <v>38</v>
      </c>
      <c r="C19" s="245">
        <v>0</v>
      </c>
      <c r="D19" s="46"/>
      <c r="E19" s="46"/>
      <c r="F19" s="46"/>
      <c r="G19" s="46"/>
      <c r="H19" s="4"/>
      <c r="I19" s="4"/>
      <c r="J19" s="4"/>
      <c r="K19" s="297"/>
      <c r="L19" s="55">
        <f>IF(C6="ON",AK9,IF(C6="AB",AK30,IF(C6="BC",AK61,IF(C6="MB",AK78,IF(C6="SK",AK95,IF(C6="PQ",AK112,IF(C6="NB",AK129,IF(C6="NS",AK146,IF(C6="NL",AK163,AK180)))))))))</f>
        <v>75658</v>
      </c>
      <c r="M19" s="56">
        <f>IF(C6="ON",AL9,IF(C6="AB",AL30,IF(C6="BC",AL61,IF(C6="MB",AL78,IF(C6="SK",AL95,IF(C6="PQ",AL112,IF(C6="NB",AL129,IF(C6="NS",AL146,IF(C6="NL",AL163,AL180)))))))))</f>
        <v>85923</v>
      </c>
      <c r="N19" s="57">
        <f>IF(D7="ON",AM9,IF(D7="AB",AM30,IF(D7="BC",AM61,IF(D7="MB",AM78,IF(D7="SK",AM95,IF(D7="PQ",AM112,IF(D7="NB",AM129,IF(D7="NS",AM146,IF(D7="NL",AM163,AM180)))))))))</f>
        <v>0.31480000000000002</v>
      </c>
      <c r="O19" s="57">
        <f>IF(C6="ON",AN9,IF(C6="AB",AN30,IF(C6="BC",AN61,IF(C6="MB",AN78,IF(C6="SK",AN95,IF(C6="PQ",AN112,IF(C6="NB",AN129,IF(C6="NS",AN146,IF(C6="NL",AN163,AN180)))))))))</f>
        <v>8.9200000000000002E-2</v>
      </c>
      <c r="P19" s="347"/>
      <c r="Q19" s="2"/>
      <c r="R19" s="3"/>
      <c r="S19" s="72"/>
      <c r="T19" s="72"/>
      <c r="U19" s="85"/>
      <c r="V19" s="72"/>
      <c r="W19" s="85"/>
      <c r="X19" s="72"/>
      <c r="Y19" s="72"/>
      <c r="Z19" s="72"/>
      <c r="AA19" s="72"/>
      <c r="AB19" s="72"/>
      <c r="AC19" s="72"/>
      <c r="AD19" s="72"/>
      <c r="AE19" s="72"/>
      <c r="AF19" s="72"/>
      <c r="AG19" s="72"/>
      <c r="AH19" s="72"/>
      <c r="AI19" s="72"/>
      <c r="AJ19" s="66"/>
      <c r="AK19" s="2"/>
      <c r="AL19" s="2"/>
      <c r="AM19" s="2"/>
      <c r="AN19" s="2"/>
      <c r="AO19" s="2"/>
      <c r="AP19" s="2"/>
      <c r="AQ19" s="2"/>
      <c r="AR19" s="2"/>
      <c r="AS19" s="2"/>
      <c r="AT19" s="87"/>
      <c r="AU19" s="87"/>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76"/>
      <c r="CS19" s="76"/>
      <c r="CT19" s="4"/>
      <c r="CU19" s="4"/>
      <c r="CV19" s="4"/>
      <c r="CW19" s="4"/>
      <c r="CX19" s="4"/>
      <c r="CY19" s="4"/>
      <c r="CZ19" s="4"/>
      <c r="DA19" s="4"/>
      <c r="DB19" s="4"/>
      <c r="DC19" s="4"/>
      <c r="DD19" s="4"/>
      <c r="DE19" s="4"/>
    </row>
    <row r="20" spans="1:116" ht="15" customHeight="1" x14ac:dyDescent="0.25">
      <c r="A20" s="23"/>
      <c r="B20" s="179" t="s">
        <v>125</v>
      </c>
      <c r="C20" s="245">
        <v>0</v>
      </c>
      <c r="D20" s="46"/>
      <c r="E20" s="481" t="s">
        <v>239</v>
      </c>
      <c r="F20" s="482"/>
      <c r="G20" s="482"/>
      <c r="H20" s="485">
        <v>0.02</v>
      </c>
      <c r="I20" s="4"/>
      <c r="J20" s="297"/>
      <c r="K20" s="297"/>
      <c r="L20" s="49">
        <f>IF(C6="ON",AK10,IF(C6="AB",AK31,IF(C6="BC",AK62,IF(C6="MB",AK79,IF(C6="SK",AK96,IF(C6="PQ",AK113,IF(C6="NB",AK130,IF(C6="NS",AK147,IF(C6="NL",AK164,AK181)))))))))</f>
        <v>85924</v>
      </c>
      <c r="M20" s="50">
        <f>IF(C6="ON",AL10,IF(C6="AB",AL31,IF(C6="BC",AL62,IF(C6="MB",AL79,IF(C6="SK",AL96,IF(C6="PQ",AL113,IF(C6="NB",AL130,IF(C6="NS",AL147,IF(C6="NL",AL164,AL181)))))))))</f>
        <v>89131</v>
      </c>
      <c r="N20" s="51">
        <f>IF(D7="ON",AM10,IF(D7="AB",AM31,IF(D7="BC",AM62,IF(D7="MB",AM79,IF(D7="SK",AM96,IF(D7="PQ",AM113,IF(D7="NB",AM130,IF(D7="NS",AM147,IF(D7="NL",AM164,AM181)))))))))</f>
        <v>0.33889999999999998</v>
      </c>
      <c r="O20" s="51">
        <f>IF(C6="ON",AN10,IF(C6="AB",AN31,IF(C6="BC",AN62,IF(C6="MB",AN79,IF(C6="SK",AN96,IF(C6="PQ",AN113,IF(C6="NB",AN130,IF(C6="NS",AN147,IF(C6="NL",AN164,AN181)))))))))</f>
        <v>0.12239999999999999</v>
      </c>
      <c r="P20" s="347"/>
      <c r="Q20" s="2"/>
      <c r="R20" s="3"/>
      <c r="S20" s="72"/>
      <c r="T20" s="72"/>
      <c r="U20" s="85"/>
      <c r="V20" s="72"/>
      <c r="W20" s="85"/>
      <c r="X20" s="72"/>
      <c r="Y20" s="72"/>
      <c r="Z20" s="72"/>
      <c r="AA20" s="72"/>
      <c r="AB20" s="72"/>
      <c r="AC20" s="72"/>
      <c r="AD20" s="72"/>
      <c r="AE20" s="72"/>
      <c r="AF20" s="72"/>
      <c r="AG20" s="72"/>
      <c r="AH20" s="72"/>
      <c r="AI20" s="72"/>
      <c r="AJ20" s="66"/>
      <c r="AK20" s="2"/>
      <c r="AL20" s="2"/>
      <c r="AM20" s="2"/>
      <c r="AN20" s="2"/>
      <c r="AO20" s="2"/>
      <c r="AP20" s="2"/>
      <c r="AQ20" s="2"/>
      <c r="AR20" s="2"/>
      <c r="AS20" s="2"/>
      <c r="AT20" s="87"/>
      <c r="AU20" s="87"/>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76"/>
      <c r="CS20" s="76"/>
      <c r="CT20" s="4"/>
      <c r="CU20" s="4"/>
      <c r="CV20" s="4"/>
      <c r="CW20" s="4"/>
      <c r="CX20" s="4"/>
      <c r="CY20" s="4"/>
      <c r="CZ20" s="4"/>
      <c r="DA20" s="4"/>
      <c r="DB20" s="4"/>
      <c r="DC20" s="4"/>
      <c r="DD20" s="4"/>
      <c r="DE20" s="4"/>
    </row>
    <row r="21" spans="1:116" ht="15" customHeight="1" thickBot="1" x14ac:dyDescent="0.3">
      <c r="A21" s="23"/>
      <c r="B21" s="180" t="s">
        <v>44</v>
      </c>
      <c r="C21" s="345">
        <f>IF(C6="AB",T39,IF(C6="BC",T70,IF(C6="MB",T87,IF(C6="NB",T138,IF(C6="NF",T172,IF(C6="NS",T155,IF(C6="ON",T18,IF(C6="PE",T188,IF(C6="PQ",T121,T104)))))))))</f>
        <v>82809.199200000017</v>
      </c>
      <c r="D21" s="46"/>
      <c r="E21" s="483"/>
      <c r="F21" s="484"/>
      <c r="G21" s="484"/>
      <c r="H21" s="486"/>
      <c r="I21" s="4"/>
      <c r="J21" s="4"/>
      <c r="K21" s="313"/>
      <c r="L21" s="55">
        <f>IF(C6="ON",AK11,IF(C6="AB",AK32,IF(C6="BC",AK63,IF(C6="MB",AK80,IF(C6="SK",AK97,IF(C6="PQ",AK114,IF(C6="NB",AK131,IF(C6="NS",AK148,IF(C6="NL",AK165,AK182)))))))))</f>
        <v>89132</v>
      </c>
      <c r="M21" s="56">
        <f>IF(C6="ON",AL11,IF(C6="AB",AL32,IF(C6="BC",AL63,IF(C6="MB",AL80,IF(C6="SK",AL97,IF(C6="PQ",AL114,IF(C6="NB",AL131,IF(C6="NS",AL148,IF(C6="NL",AL165,AL182)))))))))</f>
        <v>93208</v>
      </c>
      <c r="N21" s="57">
        <f>IF(D7="ON",AM11,IF(D7="AB",AM32,IF(D7="BC",AM63,IF(D7="MB",AM80,IF(D7="SK",AM97,IF(D7="PQ",AM114,IF(D7="NB",AM131,IF(D7="NS",AM148,IF(D7="NL",AM165,AM182)))))))))</f>
        <v>0.37909999999999999</v>
      </c>
      <c r="O21" s="57">
        <f>IF(C6="ON",AN11,IF(C6="AB",AN32,IF(C6="BC",AN63,IF(C6="MB",AN80,IF(C6="SK",AN97,IF(C6="PQ",AN114,IF(C6="NB",AN131,IF(C6="NS",AN148,IF(C6="NL",AN165,AN182)))))))))</f>
        <v>0.1779</v>
      </c>
      <c r="P21" s="347"/>
      <c r="Q21" s="2"/>
      <c r="R21" s="3"/>
      <c r="S21" s="72"/>
      <c r="T21" s="72"/>
      <c r="U21" s="85"/>
      <c r="V21" s="72"/>
      <c r="W21" s="85"/>
      <c r="X21" s="72"/>
      <c r="Y21" s="72"/>
      <c r="Z21" s="72"/>
      <c r="AA21" s="72"/>
      <c r="AB21" s="72"/>
      <c r="AC21" s="72"/>
      <c r="AD21" s="72"/>
      <c r="AE21" s="72"/>
      <c r="AF21" s="72"/>
      <c r="AG21" s="72"/>
      <c r="AH21" s="72"/>
      <c r="AI21" s="72"/>
      <c r="AJ21" s="66"/>
      <c r="AK21" s="2"/>
      <c r="AL21" s="2"/>
      <c r="AM21" s="2"/>
      <c r="AN21" s="2"/>
      <c r="AO21" s="2"/>
      <c r="AP21" s="2"/>
      <c r="AQ21" s="2"/>
      <c r="AR21" s="2"/>
      <c r="AS21" s="2"/>
      <c r="AT21" s="87"/>
      <c r="AU21" s="87"/>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76"/>
      <c r="CS21" s="76"/>
      <c r="CT21" s="4"/>
      <c r="CU21" s="4"/>
      <c r="CV21" s="4"/>
      <c r="CW21" s="4"/>
      <c r="CX21" s="4"/>
      <c r="CY21" s="4"/>
      <c r="CZ21" s="4"/>
      <c r="DA21" s="4"/>
      <c r="DB21" s="4"/>
      <c r="DC21" s="4"/>
      <c r="DD21" s="4"/>
      <c r="DE21" s="4"/>
    </row>
    <row r="22" spans="1:116" ht="15" customHeight="1" thickBot="1" x14ac:dyDescent="0.3">
      <c r="A22" s="23"/>
      <c r="B22" s="185" t="s">
        <v>127</v>
      </c>
      <c r="C22" s="177">
        <f>C16-C17+C18+C19+C20-C21</f>
        <v>141180.80079999997</v>
      </c>
      <c r="D22" s="46"/>
      <c r="E22" s="352" t="s">
        <v>256</v>
      </c>
      <c r="F22" s="352"/>
      <c r="G22" s="353"/>
      <c r="H22" s="354"/>
      <c r="I22" s="4"/>
      <c r="J22" s="4"/>
      <c r="K22" s="4"/>
      <c r="L22" s="49">
        <f>IF(C6="ON",AK12,IF(C6="AB",AK33,IF(C6="BC",AK64,IF(C6="MB",AK81,IF(C6="SK",AK98,IF(C6="PQ",AK115,IF(C6="NB",AK132,IF(C6="NS",AK149,IF(C6="NL",AK166,AK183)))))))))</f>
        <v>93209</v>
      </c>
      <c r="M22" s="50">
        <f>IF(C6="ON",AL12,IF(C6="AB",AL33,IF(C6="BC",AL64,IF(C6="MB",AL81,IF(C6="SK",AL98,IF(C6="PQ",AL115,IF(C6="NB",AL132,IF(C6="NS",AL149,IF(C6="NL",AL166,AL183)))))))))</f>
        <v>144489</v>
      </c>
      <c r="N22" s="51">
        <f>IF(D7="ON",AM12,IF(D7="AB",AM33,IF(D7="BC",AM64,IF(D7="MB",AM81,IF(D7="SK",AM98,IF(D7="PQ",AM115,IF(D7="NB",AM132,IF(D7="NS",AM149,IF(D7="NL",AM166,AM183)))))))))</f>
        <v>0.43409999999999999</v>
      </c>
      <c r="O22" s="51">
        <f>IF(C6="ON",AN12,IF(C6="AB",AN33,IF(C6="BC",AN64,IF(C6="MB",AN81,IF(C6="SK",AN98,IF(C6="PQ",AN115,IF(C6="NB",AN132,IF(C6="NS",AN149,IF(C6="NL",AN166,AN183)))))))))</f>
        <v>0.25380000000000003</v>
      </c>
      <c r="P22" s="347"/>
      <c r="Q22" s="2"/>
      <c r="R22" s="3"/>
      <c r="S22" s="72"/>
      <c r="T22" s="72"/>
      <c r="U22" s="85"/>
      <c r="V22" s="72"/>
      <c r="W22" s="85"/>
      <c r="X22" s="140"/>
      <c r="Y22" s="72"/>
      <c r="Z22" s="72"/>
      <c r="AA22" s="72"/>
      <c r="AB22" s="72"/>
      <c r="AC22" s="72"/>
      <c r="AD22" s="72"/>
      <c r="AE22" s="72"/>
      <c r="AF22" s="72"/>
      <c r="AG22" s="72"/>
      <c r="AH22" s="72"/>
      <c r="AI22" s="72"/>
      <c r="AJ22" s="66"/>
      <c r="AK22" s="2"/>
      <c r="AL22" s="2"/>
      <c r="AM22" s="2"/>
      <c r="AN22" s="2"/>
      <c r="AO22" s="2"/>
      <c r="AP22" s="2"/>
      <c r="AQ22" s="2"/>
      <c r="AR22" s="2"/>
      <c r="AS22" s="2"/>
      <c r="AT22" s="87"/>
      <c r="AU22" s="87"/>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76"/>
      <c r="CS22" s="76"/>
      <c r="CT22" s="4"/>
      <c r="CU22" s="4"/>
      <c r="CV22" s="4"/>
      <c r="CW22" s="4"/>
      <c r="CX22" s="4"/>
      <c r="CY22" s="4"/>
      <c r="CZ22" s="4"/>
      <c r="DA22" s="4"/>
      <c r="DB22" s="4"/>
      <c r="DC22" s="4"/>
      <c r="DD22" s="4"/>
      <c r="DE22" s="4"/>
    </row>
    <row r="23" spans="1:116" ht="15" customHeight="1" thickBot="1" x14ac:dyDescent="0.3">
      <c r="A23" s="23"/>
      <c r="B23" s="46"/>
      <c r="C23" s="293"/>
      <c r="D23" s="294"/>
      <c r="E23" s="294"/>
      <c r="F23" s="287"/>
      <c r="G23" s="1"/>
      <c r="H23" s="287"/>
      <c r="I23" s="46"/>
      <c r="J23" s="4"/>
      <c r="K23" s="4"/>
      <c r="L23" s="55">
        <f>IF(C6="ON",AK13,IF(C6="AB",AK34,IF(C6="BC",AK65,IF(C6="MB",AK82,IF(C6="SK",AK99,IF(C6="PQ",AK116,IF(C6="NB",AK133,IF(C6="NS",AK150,IF(C6="NL",AK167,AK184)))))))))</f>
        <v>144490</v>
      </c>
      <c r="M23" s="56">
        <f>IF(C6="ON",AL13,IF(C6="AB",AL34,IF(C6="BC",AL65,IF(C6="MB",AL82,IF(C6="SK",AL99,IF(C6="PQ",AL116,IF(C6="NB",AL133,IF(C6="NS",AL150,IF(C6="NL",AL167,AL184)))))))))</f>
        <v>150000</v>
      </c>
      <c r="N23" s="57">
        <f>IF(D7="ON",AM13,IF(D7="AB",AM34,IF(D7="BC",AM65,IF(D7="MB",AM82,IF(D7="SK",AM99,IF(D7="PQ",AM116,IF(D7="NB",AM133,IF(D7="NS",AM150,IF(D7="NL",AM167,AM184)))))))))</f>
        <v>0.46410000000000001</v>
      </c>
      <c r="O23" s="57">
        <f>IF(C6="ON",AN13,IF(C6="AB",AN34,IF(C6="BC",AN65,IF(C6="MB",AN82,IF(C6="SK",AN99,IF(C6="PQ",AN116,IF(C6="NB",AN133,IF(C6="NS",AN150,IF(C6="NL",AN167,AN184)))))))))</f>
        <v>0.29520000000000002</v>
      </c>
      <c r="P23" s="347"/>
      <c r="Q23" s="2"/>
      <c r="R23" s="7" t="s">
        <v>54</v>
      </c>
      <c r="S23" s="3" t="s">
        <v>55</v>
      </c>
      <c r="T23" s="3" t="s">
        <v>56</v>
      </c>
      <c r="U23" s="3" t="s">
        <v>55</v>
      </c>
      <c r="V23" s="3" t="s">
        <v>56</v>
      </c>
      <c r="W23" s="3" t="s">
        <v>55</v>
      </c>
      <c r="X23" s="3" t="s">
        <v>56</v>
      </c>
      <c r="Y23" s="3" t="s">
        <v>56</v>
      </c>
      <c r="Z23" s="3" t="s">
        <v>56</v>
      </c>
      <c r="AA23" s="3" t="s">
        <v>56</v>
      </c>
      <c r="AB23" s="3" t="s">
        <v>56</v>
      </c>
      <c r="AC23" s="3" t="s">
        <v>56</v>
      </c>
      <c r="AD23" s="3" t="s">
        <v>56</v>
      </c>
      <c r="AE23" s="3" t="s">
        <v>56</v>
      </c>
      <c r="AF23" s="3" t="s">
        <v>56</v>
      </c>
      <c r="AG23" s="3" t="s">
        <v>56</v>
      </c>
      <c r="AH23" s="3" t="s">
        <v>56</v>
      </c>
      <c r="AI23" s="3" t="s">
        <v>56</v>
      </c>
      <c r="AJ23" s="2"/>
      <c r="AK23" s="91" t="s">
        <v>57</v>
      </c>
      <c r="AL23" s="92"/>
      <c r="AM23" s="93" t="s">
        <v>6</v>
      </c>
      <c r="AN23" s="91"/>
      <c r="AO23" s="91"/>
      <c r="AP23" s="2"/>
      <c r="AQ23" s="94"/>
      <c r="AR23" s="2"/>
      <c r="AS23" s="2"/>
      <c r="AT23" s="94"/>
      <c r="AU23" s="94"/>
      <c r="AV23" s="95"/>
      <c r="AW23" s="95"/>
      <c r="AX23" s="95"/>
      <c r="AY23" s="95"/>
      <c r="AZ23" s="95"/>
      <c r="BA23" s="95"/>
      <c r="BB23" s="95"/>
      <c r="BC23" s="95"/>
      <c r="BD23" s="95"/>
      <c r="BE23" s="95"/>
      <c r="BF23" s="95"/>
      <c r="BG23" s="95"/>
      <c r="BH23" s="95"/>
      <c r="BI23" s="95"/>
      <c r="BJ23" s="95" t="s">
        <v>9</v>
      </c>
      <c r="BK23" s="95"/>
      <c r="BL23" s="95"/>
      <c r="BM23" s="95"/>
      <c r="BN23" s="95"/>
      <c r="BO23" s="95"/>
      <c r="BP23" s="95"/>
      <c r="BQ23" s="95"/>
      <c r="BR23" s="95"/>
      <c r="BS23" s="95"/>
      <c r="BT23" s="95"/>
      <c r="BU23" s="95"/>
      <c r="BV23" s="95"/>
      <c r="BW23" s="95"/>
      <c r="BX23" s="95"/>
      <c r="BY23" s="95"/>
      <c r="BZ23" s="95"/>
      <c r="CA23" s="95" t="s">
        <v>58</v>
      </c>
      <c r="CB23" s="95"/>
      <c r="CC23" s="95"/>
      <c r="CD23" s="95"/>
      <c r="CE23" s="95"/>
      <c r="CF23" s="95"/>
      <c r="CG23" s="95"/>
      <c r="CH23" s="95"/>
      <c r="CI23" s="95"/>
      <c r="CJ23" s="95"/>
      <c r="CK23" s="95"/>
      <c r="CL23" s="95"/>
      <c r="CM23" s="95"/>
      <c r="CN23" s="95"/>
      <c r="CO23" s="95"/>
      <c r="CP23" s="95"/>
      <c r="CQ23" s="95"/>
      <c r="CR23" s="76"/>
      <c r="CS23" s="76"/>
      <c r="CT23" s="4"/>
      <c r="CU23" s="4"/>
      <c r="CV23" s="4"/>
      <c r="CW23" s="4"/>
      <c r="CX23" s="4"/>
      <c r="CY23" s="4"/>
      <c r="CZ23" s="4"/>
      <c r="DA23" s="4"/>
      <c r="DB23" s="4"/>
      <c r="DC23" s="4"/>
      <c r="DD23" s="4"/>
      <c r="DE23" s="4"/>
    </row>
    <row r="24" spans="1:116" ht="15" customHeight="1" thickBot="1" x14ac:dyDescent="0.3">
      <c r="A24" s="193"/>
      <c r="B24" s="468" t="s">
        <v>149</v>
      </c>
      <c r="C24" s="469"/>
      <c r="D24" s="469"/>
      <c r="E24" s="470"/>
      <c r="F24" s="285"/>
      <c r="G24" s="534" t="s">
        <v>300</v>
      </c>
      <c r="H24" s="535"/>
      <c r="I24" s="567" t="s">
        <v>278</v>
      </c>
      <c r="J24" s="568"/>
      <c r="K24" s="4"/>
      <c r="L24" s="77">
        <f>IF(C6="ON",AK14,IF(C6="AB",AK35,IF(C6="BC",AK66,IF(C6="MB",AK83,IF(C6="SK",AK100,IF(C6="PQ",AK117,IF(C6="NB",AK134,IF(C6="NS",AK151,IF(C6="NL",AK168,AK185)))))))))</f>
        <v>150001</v>
      </c>
      <c r="M24" s="78">
        <f>IF(C6="ON",AL14,IF(C6="AB",AL35,IF(C6="BC",AL66,IF(C6="MB",AL83,IF(C6="SK",AL100,IF(C6="PQ",AL117,IF(C6="NB",AL134,IF(C6="NS",AL151,IF(C6="NL",AL168,AL185)))))))))</f>
        <v>205842</v>
      </c>
      <c r="N24" s="79">
        <f>IF(D7="ON",AM14,IF(D7="AB",AM35,IF(D7="BC",AM66,IF(D7="MB",AM83,IF(D7="SK",AM100,IF(D7="PQ",AM117,IF(D7="NB",AM134,IF(D7="NS",AM151,IF(D7="NL",AM168,AM185)))))))))</f>
        <v>0.47970000000000002</v>
      </c>
      <c r="O24" s="51">
        <f>IF(C6="ON",AN14,IF(C6="AB",AN35,IF(C6="BC",AN66,IF(C6="MB",AN83,IF(C6="SK",AN100,IF(C6="PQ",AN117,IF(C6="NB",AN134,IF(C6="NS",AN151,IF(C6="NL",AN168,AN185)))))))))</f>
        <v>0.31669999999999998</v>
      </c>
      <c r="P24" s="347"/>
      <c r="Q24" s="2"/>
      <c r="R24" s="3" t="s">
        <v>11</v>
      </c>
      <c r="S24" s="97">
        <f t="shared" ref="S24:AG24" si="20">S3</f>
        <v>60000</v>
      </c>
      <c r="T24" s="97">
        <f t="shared" si="20"/>
        <v>250000</v>
      </c>
      <c r="U24" s="97">
        <f t="shared" si="20"/>
        <v>55885.760000000002</v>
      </c>
      <c r="V24" s="97">
        <f t="shared" si="20"/>
        <v>258242.24</v>
      </c>
      <c r="W24" s="97">
        <f t="shared" si="20"/>
        <v>62064</v>
      </c>
      <c r="X24" s="97">
        <f t="shared" si="20"/>
        <v>252064</v>
      </c>
      <c r="Y24" s="97">
        <f t="shared" si="20"/>
        <v>254128</v>
      </c>
      <c r="Z24" s="97">
        <f t="shared" si="20"/>
        <v>0</v>
      </c>
      <c r="AA24" s="97">
        <f t="shared" si="20"/>
        <v>0</v>
      </c>
      <c r="AB24" s="97">
        <f t="shared" si="20"/>
        <v>0</v>
      </c>
      <c r="AC24" s="97">
        <f t="shared" si="20"/>
        <v>0</v>
      </c>
      <c r="AD24" s="97">
        <f t="shared" si="20"/>
        <v>0</v>
      </c>
      <c r="AE24" s="97">
        <f t="shared" si="20"/>
        <v>0</v>
      </c>
      <c r="AF24" s="97">
        <f t="shared" si="20"/>
        <v>0</v>
      </c>
      <c r="AG24" s="97">
        <f t="shared" si="20"/>
        <v>250000</v>
      </c>
      <c r="AH24" s="97">
        <f t="shared" ref="AH24:AI27" si="21">AH3</f>
        <v>0</v>
      </c>
      <c r="AI24" s="97">
        <f t="shared" si="21"/>
        <v>0</v>
      </c>
      <c r="AJ24" s="196">
        <f>W38+X38</f>
        <v>2909.5330799999956</v>
      </c>
      <c r="AK24" s="9"/>
      <c r="AL24" s="10"/>
      <c r="AM24" s="98"/>
      <c r="AN24" s="9"/>
      <c r="AO24" s="9"/>
      <c r="AP24" s="99"/>
      <c r="AQ24" s="100" t="s">
        <v>12</v>
      </c>
      <c r="AR24" s="100"/>
      <c r="AS24" s="101" t="s">
        <v>55</v>
      </c>
      <c r="AT24" t="s">
        <v>56</v>
      </c>
      <c r="AU24" s="16" t="s">
        <v>59</v>
      </c>
      <c r="AV24" s="16"/>
      <c r="AW24" s="16"/>
      <c r="AX24" s="16"/>
      <c r="AY24" s="16"/>
      <c r="AZ24" s="16"/>
      <c r="BA24" s="16"/>
      <c r="BB24" s="16"/>
      <c r="BC24" s="16"/>
      <c r="BD24" s="16"/>
      <c r="BE24" s="16"/>
      <c r="BF24" s="16"/>
      <c r="BG24" s="16"/>
      <c r="BH24" s="16"/>
      <c r="BI24" s="16"/>
      <c r="BJ24" s="16" t="s">
        <v>16</v>
      </c>
      <c r="BK24" s="16"/>
      <c r="BL24" s="16"/>
      <c r="BM24" s="16"/>
      <c r="BN24" s="16"/>
      <c r="BO24" s="16"/>
      <c r="BP24" s="16"/>
      <c r="BQ24" s="16"/>
      <c r="BR24" s="16"/>
      <c r="BS24" s="16"/>
      <c r="BT24" s="16"/>
      <c r="BU24" s="16"/>
      <c r="BV24" s="16"/>
      <c r="BW24" s="16"/>
      <c r="BX24" s="16"/>
      <c r="BY24" s="16"/>
      <c r="BZ24" s="16"/>
      <c r="CA24" t="s">
        <v>16</v>
      </c>
      <c r="CR24" t="s">
        <v>17</v>
      </c>
      <c r="CT24" s="100"/>
      <c r="CU24" s="100"/>
      <c r="CV24" s="100"/>
      <c r="CW24" s="100"/>
      <c r="DE24" s="4"/>
    </row>
    <row r="25" spans="1:116" ht="16.5" customHeight="1" thickBot="1" x14ac:dyDescent="0.3">
      <c r="A25" s="186"/>
      <c r="B25" s="471"/>
      <c r="C25" s="472"/>
      <c r="D25" s="472"/>
      <c r="E25" s="473"/>
      <c r="F25" s="285"/>
      <c r="G25" s="537" t="s">
        <v>294</v>
      </c>
      <c r="H25" s="538"/>
      <c r="I25" s="542">
        <f>IF(I24="Year 1",G120,IF(I24="Year 2",G121,IF(I24="Year 3",G122,IF(I24="Year 4",G123,IF(I24="Year 5",G124,IF(I24="Year 6",G125,IF(I24="Year 7",G126,IF(I24="Year 8",G127,IF(I24="Year 9",G128,IF(I24="Year 10",G129,IF(I24="Year 11",G130,IF(I24="Year 12",G131,IF(I24="Year 13",G132,IF(I24="Year 14",G133,G118))))))))))))))</f>
        <v>378317.2513868945</v>
      </c>
      <c r="J25" s="536">
        <f>IF(I24="Year 1",F89,IF(I24="Year 2",F90,IF(I24="Year 3",F91,IF(I24="Year 4",F92,IF(I24="Year 5",F93,IF(I24="Year 6",F94,IF(I24="Year 7",F95,IF(I24="Year 8",F96,IF(I24="Year 9",F97,IF(I24="Year 10",F98,IF(I24="Year 11",F99,IF(I24="Year 12",F100,IF(I24="Year 13",F101,IF(I24="Year 14",F102,F87))))))))))))))</f>
        <v>496400.70019058214</v>
      </c>
      <c r="K25" s="4"/>
      <c r="L25" s="55">
        <f>IF(C6="ON",AK15,IF(C6="AB",AK36,IF(C6="BC",AK67,IF(C6="MB",AK84,IF(C6="SK",AK101,IF(C6="PQ",AK118,IF(C6="NB",AK136,IF(C6="NS",AK152,IF(C6="NL",AK169,AK185)))))))))</f>
        <v>205843</v>
      </c>
      <c r="M25" s="56">
        <f>IF(C6="ON",AL15,IF(C6="AB",AL36,IF(C6="BC",AL67,IF(C6="MB",AL84,IF(C6="SK",AL101,IF(C6="PQ",AL118,IF(C6="NB",AL136,IF(C6="NS",AL152,IF(C6="NL",AL169,AL185)))))))))</f>
        <v>220000</v>
      </c>
      <c r="N25" s="57">
        <f>IF(D7="ON",AM15,IF(D7="AB",AM36,IF(D7="BC",AM67,IF(D7="MB",AM84,IF(D7="SK",AM101,IF(D7="PQ",AM118,IF(D7="NB",AM136,IF(D7="NS",AM152,IF(D7="NL",AM169,AM185)))))))))</f>
        <v>0.51970000000000005</v>
      </c>
      <c r="O25" s="57">
        <f>IF(C6="ON",AN15,IF(C6="AB",AN36,IF(C6="BC",AN67,IF(C6="MB",AN84,IF(C6="SK",AN101,IF(C6="PQ",AN118,IF(C6="NB",AN135,IF(C6="NS",AN152,IF(C6="NL",AN169,AN186)))))))))</f>
        <v>0.37190000000000001</v>
      </c>
      <c r="P25" s="347"/>
      <c r="Q25" s="2"/>
      <c r="R25" s="3" t="s">
        <v>18</v>
      </c>
      <c r="S25" s="97">
        <f t="shared" ref="S25:AG25" si="22">S4</f>
        <v>10800</v>
      </c>
      <c r="T25" s="97">
        <f t="shared" si="22"/>
        <v>26010</v>
      </c>
      <c r="U25" s="97">
        <f t="shared" si="22"/>
        <v>10800</v>
      </c>
      <c r="V25" s="97">
        <f t="shared" si="22"/>
        <v>26010</v>
      </c>
      <c r="W25" s="97">
        <f t="shared" si="22"/>
        <v>10800</v>
      </c>
      <c r="X25" s="97">
        <f t="shared" si="22"/>
        <v>26010</v>
      </c>
      <c r="Y25" s="97">
        <f t="shared" si="22"/>
        <v>26010</v>
      </c>
      <c r="Z25" s="97">
        <f t="shared" si="22"/>
        <v>0</v>
      </c>
      <c r="AA25" s="97">
        <f t="shared" si="22"/>
        <v>-40000</v>
      </c>
      <c r="AB25" s="97">
        <f t="shared" si="22"/>
        <v>0</v>
      </c>
      <c r="AC25" s="97">
        <f t="shared" si="22"/>
        <v>-40000</v>
      </c>
      <c r="AD25" s="97">
        <f t="shared" si="22"/>
        <v>0</v>
      </c>
      <c r="AE25" s="97">
        <f t="shared" si="22"/>
        <v>-40000</v>
      </c>
      <c r="AF25" s="97">
        <f t="shared" si="22"/>
        <v>-40000</v>
      </c>
      <c r="AG25" s="97">
        <f t="shared" si="22"/>
        <v>26010</v>
      </c>
      <c r="AH25" s="97">
        <f t="shared" si="21"/>
        <v>0</v>
      </c>
      <c r="AI25" s="97">
        <f t="shared" si="21"/>
        <v>-40000</v>
      </c>
      <c r="AK25" s="102"/>
      <c r="AL25" s="103"/>
      <c r="AM25" s="104"/>
      <c r="AN25" s="9" t="s">
        <v>7</v>
      </c>
      <c r="AO25" s="9" t="s">
        <v>60</v>
      </c>
      <c r="AP25" s="100" t="s">
        <v>19</v>
      </c>
      <c r="AQ25" s="100" t="s">
        <v>20</v>
      </c>
      <c r="AR25" s="105" t="s">
        <v>21</v>
      </c>
      <c r="AS25" s="106" t="s">
        <v>22</v>
      </c>
      <c r="AU25" s="16"/>
      <c r="AV25" s="16"/>
      <c r="AW25" s="16"/>
      <c r="AX25" s="16"/>
      <c r="AY25" s="16"/>
      <c r="AZ25" s="16"/>
      <c r="BA25" s="16"/>
      <c r="BB25" s="16"/>
      <c r="BC25" s="16"/>
      <c r="BD25" s="16"/>
      <c r="BE25" s="16"/>
      <c r="BF25" s="16"/>
      <c r="BG25" s="16"/>
      <c r="BH25" s="16"/>
      <c r="BI25" s="16"/>
      <c r="BJ25" s="16" t="s">
        <v>23</v>
      </c>
      <c r="BK25" s="16"/>
      <c r="BL25" s="16"/>
      <c r="BM25" s="16"/>
      <c r="BN25" s="16"/>
      <c r="BO25" s="16"/>
      <c r="BP25" s="16"/>
      <c r="BQ25" s="16"/>
      <c r="BR25" s="16"/>
      <c r="BS25" s="16"/>
      <c r="BT25" s="16"/>
      <c r="BU25" s="16"/>
      <c r="BV25" s="16"/>
      <c r="BW25" s="16"/>
      <c r="BX25" s="16"/>
      <c r="BY25" s="16"/>
      <c r="BZ25" s="16"/>
      <c r="CA25" t="s">
        <v>22</v>
      </c>
      <c r="DE25" s="4"/>
    </row>
    <row r="26" spans="1:116" ht="15.75" customHeight="1" thickBot="1" x14ac:dyDescent="0.3">
      <c r="A26" s="194"/>
      <c r="B26" s="301"/>
      <c r="C26" s="302"/>
      <c r="D26" s="268" t="s">
        <v>141</v>
      </c>
      <c r="E26" s="254" t="s">
        <v>158</v>
      </c>
      <c r="F26" s="286"/>
      <c r="G26" s="362" t="s">
        <v>295</v>
      </c>
      <c r="H26" s="539"/>
      <c r="I26" s="543">
        <f>IF(I24="Year 1",D89,IF(I24="Year 2",D90,IF(I24="Year 3",D91,IF(I24="Year 4",D92,IF(I24="Year 5",D93,IF(I24="Year 6",D94,IF(I24="Year 7",D95,IF(I24="Year 8",D96,IF(I24="Year 9",D97,IF(I24="Year 10",D98,IF(I24="Year 11",D99,IF(I24="Year 12",D100,IF(I24="Year 13",D101,IF(I24="Year 14",D102,D87))))))))))))))</f>
        <v>234344.02273852294</v>
      </c>
      <c r="J26" s="366">
        <f>IF(I24="Year 1",D89,IF(I24="Year 2",D90,IF(I24="Year 3",D91,IF(I24="Year 4",D92,IF(I24="Year 5",D93,IF(I24="Year 6",D94,IF(I24="Year 7",D95,IF(I24="Year 8",D96,IF(I24="Year 9",D97,IF(I24="Year 10",D98,IF(I24="Year 11",D99,IF(I24="Year 12",D100,IF(I24="Year 13",D101,IF(I24="Year 14",D102,D87))))))))))))))</f>
        <v>234344.02273852294</v>
      </c>
      <c r="K26" s="4"/>
      <c r="L26" s="82">
        <f>IF(C6="ON",AK16,IF(C6="AB",AK36,IF(C6="BC",AK69,IF(C6="MB",AK82,IF(C6="SK",AK103,IF(C6="PQ",AK118,IF(C6="NB",AK135,IF(C6="NS",AK153,IF(C6="NL",AK169,AK185)))))))))</f>
        <v>220001</v>
      </c>
      <c r="M26" s="83">
        <f>IF(C6="ON",AL16,IF(C6="AB",AL36,IF(C6="BC",AL69,IF(C6="MB",AL82,IF(C6="SK",AL103,IF(C6="PQ",AL118,IF(C6="NB",AL135,IF(C6="NS",AL153,IF(C6="NL",AL169,AL185)))))))))</f>
        <v>220001</v>
      </c>
      <c r="N26" s="84">
        <f>IF(D7="ON",AM16,IF(D7="AB",AM36,IF(D7="BC",AM69,IF(D7="MB",AM82,IF(D7="SK",AM103,IF(D7="PQ",AM118,IF(D7="NB",AM135,IF(D7="NS",AM153,IF(D7="NL",AM169,AM185)))))))))</f>
        <v>0.5353</v>
      </c>
      <c r="O26" s="84">
        <f>IF(C6="ON",AN16,IF(C6="AB",AN37,IF(C6="BC",AN68,IF(C6="MB",AN85,IF(C6="SK",AN102,IF(C6="PQ",AN119,IF(C6="NB",AN136,IF(C6="NS",AN153,IF(C6="NL",AN170,AN187)))))))))</f>
        <v>0.39340000000000003</v>
      </c>
      <c r="P26" s="347"/>
      <c r="Q26" s="2"/>
      <c r="R26" s="3"/>
      <c r="S26" s="97">
        <f t="shared" ref="S26:AG26" si="23">S5</f>
        <v>0</v>
      </c>
      <c r="T26" s="97">
        <f t="shared" si="23"/>
        <v>0</v>
      </c>
      <c r="U26" s="97">
        <f t="shared" si="23"/>
        <v>0</v>
      </c>
      <c r="V26" s="97">
        <f t="shared" si="23"/>
        <v>0</v>
      </c>
      <c r="W26" s="97">
        <f t="shared" si="23"/>
        <v>0</v>
      </c>
      <c r="X26" s="97">
        <f t="shared" si="23"/>
        <v>0</v>
      </c>
      <c r="Y26" s="97">
        <f t="shared" si="23"/>
        <v>0</v>
      </c>
      <c r="Z26" s="97">
        <f t="shared" si="23"/>
        <v>0</v>
      </c>
      <c r="AA26" s="97">
        <f t="shared" si="23"/>
        <v>0</v>
      </c>
      <c r="AB26" s="97">
        <f t="shared" si="23"/>
        <v>0</v>
      </c>
      <c r="AC26" s="97">
        <f t="shared" si="23"/>
        <v>0</v>
      </c>
      <c r="AD26" s="97">
        <f t="shared" si="23"/>
        <v>0</v>
      </c>
      <c r="AE26" s="97">
        <f t="shared" si="23"/>
        <v>0</v>
      </c>
      <c r="AF26" s="97">
        <f t="shared" si="23"/>
        <v>0</v>
      </c>
      <c r="AG26" s="97">
        <f t="shared" si="23"/>
        <v>0</v>
      </c>
      <c r="AH26" s="97">
        <f t="shared" si="21"/>
        <v>0</v>
      </c>
      <c r="AI26" s="97">
        <f t="shared" si="21"/>
        <v>0</v>
      </c>
      <c r="AK26" s="102"/>
      <c r="AL26" s="103"/>
      <c r="AM26" s="108"/>
      <c r="AN26" s="9"/>
      <c r="AO26" s="9"/>
      <c r="AP26" s="100"/>
      <c r="AQ26" s="100"/>
      <c r="AR26" s="105"/>
      <c r="AS26" s="10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S26" t="s">
        <v>25</v>
      </c>
      <c r="CT26" t="s">
        <v>26</v>
      </c>
      <c r="CU26" t="s">
        <v>27</v>
      </c>
      <c r="CV26" s="16" t="s">
        <v>28</v>
      </c>
      <c r="CW26" s="16" t="s">
        <v>61</v>
      </c>
      <c r="CX26" s="16" t="s">
        <v>62</v>
      </c>
      <c r="CY26" s="16" t="s">
        <v>63</v>
      </c>
      <c r="CZ26" s="16" t="s">
        <v>64</v>
      </c>
      <c r="DA26" s="16" t="s">
        <v>65</v>
      </c>
      <c r="DB26" s="16" t="s">
        <v>3</v>
      </c>
      <c r="DC26" s="16" t="s">
        <v>4</v>
      </c>
      <c r="DD26" s="16" t="s">
        <v>13</v>
      </c>
      <c r="DE26" s="4" t="s">
        <v>170</v>
      </c>
      <c r="DF26" s="4" t="s">
        <v>171</v>
      </c>
      <c r="DG26" s="4" t="s">
        <v>172</v>
      </c>
      <c r="DH26" s="4" t="s">
        <v>174</v>
      </c>
      <c r="DI26" s="4" t="s">
        <v>176</v>
      </c>
      <c r="DJ26" s="4" t="s">
        <v>192</v>
      </c>
      <c r="DK26" s="4" t="s">
        <v>196</v>
      </c>
      <c r="DL26" s="4" t="s">
        <v>198</v>
      </c>
    </row>
    <row r="27" spans="1:116" ht="15.75" customHeight="1" thickBot="1" x14ac:dyDescent="0.3">
      <c r="A27" s="195"/>
      <c r="B27" s="199"/>
      <c r="C27" s="303"/>
      <c r="D27" s="269"/>
      <c r="E27" s="255"/>
      <c r="F27" s="286"/>
      <c r="G27" s="540" t="s">
        <v>296</v>
      </c>
      <c r="H27" s="541"/>
      <c r="I27" s="544">
        <f>I25-I26</f>
        <v>143973.22864837156</v>
      </c>
      <c r="J27" s="391">
        <f>J25-J26</f>
        <v>262056.6774520592</v>
      </c>
      <c r="K27" s="4"/>
      <c r="L27" s="4"/>
      <c r="M27" s="4"/>
      <c r="N27" s="4"/>
      <c r="O27" s="4"/>
      <c r="P27" s="4"/>
      <c r="Q27" s="2" t="s">
        <v>66</v>
      </c>
      <c r="R27" s="3" t="s">
        <v>31</v>
      </c>
      <c r="S27" s="97">
        <f t="shared" ref="S27:AG27" si="24">S6</f>
        <v>0</v>
      </c>
      <c r="T27" s="97">
        <f t="shared" si="24"/>
        <v>0</v>
      </c>
      <c r="U27" s="97">
        <f t="shared" si="24"/>
        <v>0</v>
      </c>
      <c r="V27" s="97">
        <f t="shared" si="24"/>
        <v>0</v>
      </c>
      <c r="W27" s="97">
        <f t="shared" si="24"/>
        <v>0</v>
      </c>
      <c r="X27" s="97">
        <f t="shared" si="24"/>
        <v>0</v>
      </c>
      <c r="Y27" s="97">
        <f t="shared" si="24"/>
        <v>0</v>
      </c>
      <c r="Z27" s="97">
        <f t="shared" si="24"/>
        <v>100000</v>
      </c>
      <c r="AA27" s="97">
        <f t="shared" si="24"/>
        <v>0</v>
      </c>
      <c r="AB27" s="97">
        <f t="shared" si="24"/>
        <v>100000</v>
      </c>
      <c r="AC27" s="97">
        <f t="shared" si="24"/>
        <v>0</v>
      </c>
      <c r="AD27" s="97">
        <f t="shared" si="24"/>
        <v>100000</v>
      </c>
      <c r="AE27" s="97">
        <f t="shared" si="24"/>
        <v>0</v>
      </c>
      <c r="AF27" s="97">
        <f t="shared" si="24"/>
        <v>0</v>
      </c>
      <c r="AG27" s="97">
        <f t="shared" si="24"/>
        <v>344000</v>
      </c>
      <c r="AH27" s="97" t="e">
        <f t="shared" si="21"/>
        <v>#REF!</v>
      </c>
      <c r="AI27" s="97" t="e">
        <f t="shared" si="21"/>
        <v>#REF!</v>
      </c>
      <c r="AK27" s="110">
        <v>0</v>
      </c>
      <c r="AL27" s="110">
        <v>45916</v>
      </c>
      <c r="AM27" s="111">
        <v>0.25</v>
      </c>
      <c r="AN27" s="112">
        <v>-2.9999999999999997E-4</v>
      </c>
      <c r="AO27" s="113">
        <v>0.14960000000000001</v>
      </c>
      <c r="AP27" s="13">
        <f t="shared" ref="AP27:AP34" si="25">AL27-AK27</f>
        <v>45916</v>
      </c>
      <c r="AQ27" s="13">
        <f t="shared" ref="AQ27:AQ34" si="26">AP27*AM27</f>
        <v>11479</v>
      </c>
      <c r="AR27" s="97">
        <f>AQ27</f>
        <v>11479</v>
      </c>
      <c r="AS27" s="114">
        <f>S33*AM27</f>
        <v>12300</v>
      </c>
      <c r="AT27" s="114">
        <f>T33*AM27</f>
        <v>55997.5</v>
      </c>
      <c r="AU27" s="115">
        <f>U33*AM27</f>
        <v>11271.44</v>
      </c>
      <c r="AV27" s="115">
        <f>V33*AM27</f>
        <v>58058.06</v>
      </c>
      <c r="AW27" s="115">
        <f>W33*AM27</f>
        <v>12816</v>
      </c>
      <c r="AX27" s="43">
        <f>X33*AM27</f>
        <v>56513.5</v>
      </c>
      <c r="AY27" s="115">
        <f>Y33*AM27</f>
        <v>57029.5</v>
      </c>
      <c r="AZ27" s="115">
        <f>Z33*AM27</f>
        <v>0</v>
      </c>
      <c r="BA27" s="115">
        <f>AA33*AM27</f>
        <v>10063.076628031458</v>
      </c>
      <c r="BB27" s="43">
        <f>AB33*AM27</f>
        <v>0</v>
      </c>
      <c r="BC27" s="43">
        <f>AC33*AM27</f>
        <v>10000</v>
      </c>
      <c r="BD27" s="43">
        <f>AD33*AM27</f>
        <v>358.13340626282428</v>
      </c>
      <c r="BE27" s="43">
        <f>AE33*AM27</f>
        <v>10000</v>
      </c>
      <c r="BF27" s="43" t="e">
        <f>AF33*AM27</f>
        <v>#VALUE!</v>
      </c>
      <c r="BG27" s="43">
        <f>AG33*AM27</f>
        <v>55997.5</v>
      </c>
      <c r="BH27" s="43">
        <f>AH33*AM27</f>
        <v>0</v>
      </c>
      <c r="BI27" s="43">
        <f>AI33*AM27</f>
        <v>10000</v>
      </c>
      <c r="BJ27" s="115">
        <f>S27*AO27</f>
        <v>0</v>
      </c>
      <c r="BK27" s="115">
        <f>T27*AO27</f>
        <v>0</v>
      </c>
      <c r="BL27" s="115">
        <f>U27*AO27</f>
        <v>0</v>
      </c>
      <c r="BM27" s="115">
        <f>V27*AO27</f>
        <v>0</v>
      </c>
      <c r="BN27" s="115">
        <f>W27*AO27</f>
        <v>0</v>
      </c>
      <c r="BO27" s="115">
        <f>X27*AO27</f>
        <v>0</v>
      </c>
      <c r="BP27" s="43">
        <f>Y27*AO27</f>
        <v>0</v>
      </c>
      <c r="BQ27" s="43">
        <f>Z27*AO27</f>
        <v>14960.000000000002</v>
      </c>
      <c r="BR27" s="43">
        <f>AA27*AO27</f>
        <v>0</v>
      </c>
      <c r="BS27" s="43">
        <f>AB27*AO27</f>
        <v>14960.000000000002</v>
      </c>
      <c r="BT27" s="43">
        <f>AC27*AO27</f>
        <v>0</v>
      </c>
      <c r="BU27" s="43">
        <f>AD27*AO27</f>
        <v>14960.000000000002</v>
      </c>
      <c r="BV27" s="43">
        <f>AE27*AO27</f>
        <v>0</v>
      </c>
      <c r="BW27" s="43">
        <f>AF27*AO27</f>
        <v>0</v>
      </c>
      <c r="BX27" s="43">
        <f>AG27*AO27</f>
        <v>51462.400000000001</v>
      </c>
      <c r="BY27" s="43" t="e">
        <f>AH27*AO27</f>
        <v>#REF!</v>
      </c>
      <c r="BZ27" s="43" t="e">
        <f>AI27*AO27</f>
        <v>#REF!</v>
      </c>
      <c r="CA27" s="116">
        <f>AN27*S29</f>
        <v>0</v>
      </c>
      <c r="CB27" s="44">
        <f>AN27*T29</f>
        <v>0</v>
      </c>
      <c r="CC27" s="44">
        <f>AN27*U29</f>
        <v>-2.0743199999999997</v>
      </c>
      <c r="CD27" s="44">
        <f>AN27*V29</f>
        <v>0</v>
      </c>
      <c r="CE27" s="44">
        <f>AN27*W29</f>
        <v>-1.0371599999999999</v>
      </c>
      <c r="CF27" s="44">
        <f>AN27*X29</f>
        <v>-1.0371599999999999</v>
      </c>
      <c r="CG27" s="44">
        <f>AN27*Y29</f>
        <v>-2.0743199999999997</v>
      </c>
      <c r="CH27" s="44">
        <f>AN27*Z29</f>
        <v>0</v>
      </c>
      <c r="CI27" s="44">
        <f>AN27*AA29</f>
        <v>-2.9932962221492101</v>
      </c>
      <c r="CJ27" s="44">
        <f>AN27*AB29</f>
        <v>0</v>
      </c>
      <c r="CK27" s="44">
        <f>AN27*AC29</f>
        <v>0</v>
      </c>
      <c r="CL27" s="44">
        <f>AN27*AD29</f>
        <v>-0.86815856874968034</v>
      </c>
      <c r="CM27" s="44">
        <f>AN27*AE29</f>
        <v>0</v>
      </c>
      <c r="CN27" s="44">
        <f>AN27*AF29</f>
        <v>0</v>
      </c>
      <c r="CO27" s="44">
        <f>AN27*AG29</f>
        <v>0</v>
      </c>
      <c r="CP27" s="44">
        <f>AN27*AH29</f>
        <v>0</v>
      </c>
      <c r="CQ27" s="44">
        <f>AN27*AI29</f>
        <v>-1.2918682408375173E-5</v>
      </c>
      <c r="CR27" t="s">
        <v>32</v>
      </c>
      <c r="CS27">
        <v>11635</v>
      </c>
      <c r="CT27" s="117">
        <v>0.15</v>
      </c>
      <c r="CU27">
        <f>CT27*CS27</f>
        <v>1745.25</v>
      </c>
      <c r="CV27" s="16">
        <f>IF(S34&gt;CS27,CU27,CU27-(CS27-S34)*CT27)</f>
        <v>1745.25</v>
      </c>
      <c r="CW27" s="16">
        <f>IF(T34&gt;CS27,CU27,CU27-(CS27-T34)*CT27)</f>
        <v>1745.25</v>
      </c>
      <c r="CX27" s="16">
        <f>IF(U34&gt;CS27,CU27,CU27-(CS27-U34)*CT27)</f>
        <v>1745.25</v>
      </c>
      <c r="CY27" s="16">
        <f>IF(V34&gt;CS27,CU27,CU27-(CS27-V34)*CT27)</f>
        <v>1745.25</v>
      </c>
      <c r="CZ27" s="16">
        <f>IF(W34&gt;CS27,CU27,CU27-(CS27-W34)*CT27)</f>
        <v>1745.25</v>
      </c>
      <c r="DA27" s="16">
        <f>IF(X34&gt;CS27,CU27,CU27-(CS27-X34)*CT27)</f>
        <v>1745.25</v>
      </c>
      <c r="DB27" s="16">
        <f>IF(Y34&gt;CS27,CU27,CU27-(CS27-Y34)*CT27)</f>
        <v>1745.25</v>
      </c>
      <c r="DC27" s="16">
        <f>IF(Z34&gt;CS27,CU27,CU27-(CS27-Z34)*CT27)</f>
        <v>1745.25</v>
      </c>
      <c r="DD27" s="16">
        <f>IF(AA34&gt;CS27,CU27,CU27-(CS27-AA34)*CT27)</f>
        <v>1745.25</v>
      </c>
      <c r="DE27" s="219">
        <f>IF(AB34&gt;CS27,CU27,CU27-(CS27-AB34)*CT27)</f>
        <v>1745.25</v>
      </c>
      <c r="DF27" s="219">
        <f>IF(AC34&gt;CS27,CU27,CU27-(CS27-AC34)*CT27)</f>
        <v>1745.25</v>
      </c>
      <c r="DG27" s="219">
        <f>IF(AD34&gt;CS27,CU27,CU27-(CS27-AD34)*CT27)</f>
        <v>1745.25</v>
      </c>
      <c r="DH27" s="219">
        <f>IF(AE34&gt;CS27,CU27,CU27-(CS27-AE34)*CT27)</f>
        <v>1745.25</v>
      </c>
      <c r="DI27" s="219" t="e">
        <f>IF(AF34&gt;CS27,CU27,CU27-(CS27-AF34)*CT27)</f>
        <v>#VALUE!</v>
      </c>
      <c r="DJ27" s="219">
        <f>IF(AG34&gt;CS27,CU27,CU27-(CS27-AG34)*CT27)</f>
        <v>1745.25</v>
      </c>
      <c r="DK27" s="219" t="e">
        <f>IF(AH34&gt;CS27,CU27,CU27-(CS27-AH34)*CT27)</f>
        <v>#REF!</v>
      </c>
      <c r="DL27" s="219" t="e">
        <f>IF(AI34&gt;CS27,CU27,CU27-(CS27-AI34)*CT27)</f>
        <v>#REF!</v>
      </c>
    </row>
    <row r="28" spans="1:116" ht="16.5" thickBot="1" x14ac:dyDescent="0.3">
      <c r="A28" s="194"/>
      <c r="B28" s="188" t="s">
        <v>227</v>
      </c>
      <c r="C28" s="284"/>
      <c r="D28" s="257">
        <f>E28</f>
        <v>11042.4</v>
      </c>
      <c r="E28" s="89">
        <f>H16+H17</f>
        <v>11042.4</v>
      </c>
      <c r="F28" s="46"/>
      <c r="G28" s="4"/>
      <c r="H28" s="4"/>
      <c r="I28" s="4"/>
      <c r="J28" s="4"/>
      <c r="K28" s="4"/>
      <c r="L28" s="4"/>
      <c r="M28" s="4"/>
      <c r="N28" s="4"/>
      <c r="O28" s="4"/>
      <c r="P28" s="4"/>
      <c r="Q28" s="72">
        <f>IF(C6="ON",S18,IF(C6="AB",S39,IF(C6="BC",S70,IF(C6="MB",S87,IF(C6="SK",S104,IF(C6="PQ",S121,IF(C6="NB",S138,IF(C6="NS",S155,IF(C6="NL",S172,S189)))))))))</f>
        <v>8003.7415000000001</v>
      </c>
      <c r="R28" s="3" t="s">
        <v>35</v>
      </c>
      <c r="S28" s="97">
        <f t="shared" ref="S28:Z28" si="27">1.16*S27</f>
        <v>0</v>
      </c>
      <c r="T28" s="97">
        <f t="shared" si="27"/>
        <v>0</v>
      </c>
      <c r="U28" s="97">
        <f t="shared" si="27"/>
        <v>0</v>
      </c>
      <c r="V28" s="97">
        <f t="shared" si="27"/>
        <v>0</v>
      </c>
      <c r="W28" s="97">
        <f t="shared" si="27"/>
        <v>0</v>
      </c>
      <c r="X28" s="97">
        <f t="shared" si="27"/>
        <v>0</v>
      </c>
      <c r="Y28" s="97">
        <f t="shared" si="27"/>
        <v>0</v>
      </c>
      <c r="Z28" s="97">
        <f t="shared" si="27"/>
        <v>115999.99999999999</v>
      </c>
      <c r="AA28" s="97">
        <f t="shared" ref="AA28:AG28" si="28">1.16*AA27</f>
        <v>0</v>
      </c>
      <c r="AB28" s="97">
        <f t="shared" si="28"/>
        <v>115999.99999999999</v>
      </c>
      <c r="AC28" s="97">
        <f t="shared" si="28"/>
        <v>0</v>
      </c>
      <c r="AD28" s="97">
        <f t="shared" si="28"/>
        <v>115999.99999999999</v>
      </c>
      <c r="AE28" s="97">
        <f t="shared" si="28"/>
        <v>0</v>
      </c>
      <c r="AF28" s="97">
        <f t="shared" si="28"/>
        <v>0</v>
      </c>
      <c r="AG28" s="97">
        <f t="shared" si="28"/>
        <v>399040</v>
      </c>
      <c r="AH28" s="97" t="e">
        <f>1.16*AH27</f>
        <v>#REF!</v>
      </c>
      <c r="AI28" s="97" t="e">
        <f>1.16*AI27</f>
        <v>#REF!</v>
      </c>
      <c r="AK28" s="118">
        <f t="shared" ref="AK28:AK35" si="29">AL27+1</f>
        <v>45917</v>
      </c>
      <c r="AL28" s="119">
        <v>91831</v>
      </c>
      <c r="AM28" s="120">
        <v>0.30499999999999999</v>
      </c>
      <c r="AN28" s="121">
        <v>7.5600000000000001E-2</v>
      </c>
      <c r="AO28" s="122">
        <v>0.21340000000000001</v>
      </c>
      <c r="AP28" s="13">
        <f t="shared" si="25"/>
        <v>45914</v>
      </c>
      <c r="AQ28" s="13">
        <f t="shared" si="26"/>
        <v>14003.77</v>
      </c>
      <c r="AR28" s="97">
        <f t="shared" ref="AR28:AR34" si="30">AR27+AQ28</f>
        <v>25482.77</v>
      </c>
      <c r="AS28" s="114">
        <f>AR27+AM28*(S33-AK28)</f>
        <v>12480.315000000001</v>
      </c>
      <c r="AT28" s="114">
        <f>AR27+AM28*(T33-AK28)</f>
        <v>65791.264999999999</v>
      </c>
      <c r="AU28" s="115">
        <f>AR27+AM28*(U33-AK28)</f>
        <v>11225.471800000001</v>
      </c>
      <c r="AV28" s="115">
        <f>AR27+AM28*(V33-AK28)</f>
        <v>68305.148199999996</v>
      </c>
      <c r="AW28" s="115">
        <f>AR27+AM28*(W33-AK28)</f>
        <v>13109.834999999999</v>
      </c>
      <c r="AX28" s="43">
        <f>AR27+AM28*(X33-AK28)</f>
        <v>66420.785000000003</v>
      </c>
      <c r="AY28" s="115">
        <f>AR27+AM28*(Y33-AK28)</f>
        <v>67050.304999999993</v>
      </c>
      <c r="AZ28" s="115">
        <f>AR27+AM28*(Z33-AK28)</f>
        <v>-2525.6849999999995</v>
      </c>
      <c r="BA28" s="115">
        <f>AR27+AM28*(AA33-AK28)</f>
        <v>9751.2684861983798</v>
      </c>
      <c r="BB28" s="43">
        <f>AR27+AM28*(AB33-AK28)</f>
        <v>-2525.6849999999995</v>
      </c>
      <c r="BC28" s="43">
        <f>AR27+AM28*(AC33-AK28)</f>
        <v>9674.3150000000005</v>
      </c>
      <c r="BD28" s="43">
        <f>AR27+AM28*(AD33-AK28)</f>
        <v>-2088.7622443593536</v>
      </c>
      <c r="BE28" s="43">
        <f>AR27+AM28*(AE33-AK28)</f>
        <v>9674.3150000000005</v>
      </c>
      <c r="BF28" s="43" t="e">
        <f>AR27+AM28*(AF33-AK28)</f>
        <v>#VALUE!</v>
      </c>
      <c r="BG28" s="43">
        <f>AR27+AM28*(AG33-AK28)</f>
        <v>65791.264999999999</v>
      </c>
      <c r="BH28" s="43">
        <f>AR27+AM28*(AH33-AK28)</f>
        <v>-2525.6849999999995</v>
      </c>
      <c r="BI28" s="43">
        <f>AR27+AM28*(AI33-AK28)</f>
        <v>9674.3150000000005</v>
      </c>
      <c r="BJ28" s="115">
        <f>S27*AO28</f>
        <v>0</v>
      </c>
      <c r="BK28" s="115">
        <f>T27*AO28</f>
        <v>0</v>
      </c>
      <c r="BL28" s="115">
        <f>U27*AO28</f>
        <v>0</v>
      </c>
      <c r="BM28" s="115">
        <f>V27*AO28</f>
        <v>0</v>
      </c>
      <c r="BN28" s="115">
        <f>W27*AO28</f>
        <v>0</v>
      </c>
      <c r="BO28" s="115">
        <f>X27*AO28</f>
        <v>0</v>
      </c>
      <c r="BP28" s="43">
        <f>Y27*AO28</f>
        <v>0</v>
      </c>
      <c r="BQ28" s="43">
        <f>Z27*AO28</f>
        <v>21340</v>
      </c>
      <c r="BR28" s="43">
        <f>AA27*AO28</f>
        <v>0</v>
      </c>
      <c r="BS28" s="43">
        <f>AB27*AO28</f>
        <v>21340</v>
      </c>
      <c r="BT28" s="43">
        <f>AC27*AO28</f>
        <v>0</v>
      </c>
      <c r="BU28" s="43">
        <f>AD27*AO28</f>
        <v>21340</v>
      </c>
      <c r="BV28" s="43">
        <f>AE27*AO28</f>
        <v>0</v>
      </c>
      <c r="BW28" s="43">
        <f>AF27*AO28</f>
        <v>0</v>
      </c>
      <c r="BX28" s="43">
        <f>AG27*AO28</f>
        <v>73409.600000000006</v>
      </c>
      <c r="BY28" s="43" t="e">
        <f>AH27*AO28</f>
        <v>#REF!</v>
      </c>
      <c r="BZ28" s="43" t="e">
        <f>AI27*AO28</f>
        <v>#REF!</v>
      </c>
      <c r="CA28" s="116">
        <f>AN28*S29</f>
        <v>0</v>
      </c>
      <c r="CB28" s="44">
        <f>AN28*T29</f>
        <v>0</v>
      </c>
      <c r="CC28" s="44">
        <f>AN28*U29</f>
        <v>522.72863999999993</v>
      </c>
      <c r="CD28" s="44">
        <f>AN28*V29</f>
        <v>0</v>
      </c>
      <c r="CE28" s="44">
        <f>AN28*W29</f>
        <v>261.36431999999996</v>
      </c>
      <c r="CF28" s="44">
        <f>AN28*X29</f>
        <v>261.36431999999996</v>
      </c>
      <c r="CG28" s="44">
        <f>AN28*Y29</f>
        <v>522.72863999999993</v>
      </c>
      <c r="CH28" s="44">
        <f>AN28*Z29</f>
        <v>0</v>
      </c>
      <c r="CI28" s="44">
        <f>AN28*AA29</f>
        <v>754.31064798160105</v>
      </c>
      <c r="CJ28" s="44">
        <f>AN28*AB29</f>
        <v>0</v>
      </c>
      <c r="CK28" s="44">
        <f>AN28*AC29</f>
        <v>0</v>
      </c>
      <c r="CL28" s="44">
        <f>AN28*AD29</f>
        <v>218.77595932491948</v>
      </c>
      <c r="CM28" s="44">
        <f>AN28*AE29</f>
        <v>0</v>
      </c>
      <c r="CN28" s="44">
        <f>AN28*AF29</f>
        <v>0</v>
      </c>
      <c r="CO28" s="44">
        <f>AN28*AG29</f>
        <v>0</v>
      </c>
      <c r="CP28" s="44">
        <f>AN28*AH29</f>
        <v>0</v>
      </c>
      <c r="CQ28" s="44">
        <f>AN28*AI29</f>
        <v>3.2555079669105442E-3</v>
      </c>
      <c r="CR28" t="s">
        <v>36</v>
      </c>
      <c r="CS28">
        <v>18690</v>
      </c>
      <c r="CT28" s="117">
        <v>0.1</v>
      </c>
      <c r="CU28">
        <f>CT28*CS28</f>
        <v>1869</v>
      </c>
      <c r="CV28" s="16">
        <f>IF(S34&gt;CS28,CU28,CU28-(CS28-S34)*CT28)</f>
        <v>1869</v>
      </c>
      <c r="CW28" s="16">
        <f>IF(T34&gt;CS28,CU28,CU28-(CS28-T34)*CT28)</f>
        <v>1869</v>
      </c>
      <c r="CX28" s="16">
        <f>IF(U34&gt;CS28,CU28,CU28-(CS28-U34)*CT28)</f>
        <v>1869</v>
      </c>
      <c r="CY28" s="16">
        <f>IF(V34&gt;CS28,CU28,CU28-(CS28-V34)*CT28)</f>
        <v>1869</v>
      </c>
      <c r="CZ28" s="16">
        <f>IF(W34&gt;CS28,CU28,CU28-(CS28-W34)*CT28)</f>
        <v>1869</v>
      </c>
      <c r="DA28" s="16">
        <f>IF(X34&gt;CS28,CU28,CU28-(CS28-X34)*CT28)</f>
        <v>1869</v>
      </c>
      <c r="DB28" s="16">
        <f>IF(Y34&gt;CS28,CU28,CU28-(CS28-Y34)*CT28)</f>
        <v>1869</v>
      </c>
      <c r="DC28" s="16">
        <f>IF(Z34&gt;CS28,CU28,CU28-(CS28-Z34)*CT28)</f>
        <v>1869</v>
      </c>
      <c r="DD28" s="16">
        <f>IF(AA34&gt;CS28,CU28,CU28-(CS28-AA34)*CT28)</f>
        <v>1869</v>
      </c>
      <c r="DE28" s="219">
        <f>IF(AB34&gt;CS28,CU28,CU28-(CS28-AB34)*CT28)</f>
        <v>1869</v>
      </c>
      <c r="DF28" s="219">
        <f>IF(AC34&gt;CS28,CU28,CU28-(CS28-AC34)*CT28)</f>
        <v>1869</v>
      </c>
      <c r="DG28" s="219">
        <f>IF(AD34&gt;CS28,CU28,CU28-(CS28-AD34)*CT28)</f>
        <v>1869</v>
      </c>
      <c r="DH28" s="219">
        <f>IF(AE34&gt;CS28,CU28,CU28-(CS28-AE34)*CT28)</f>
        <v>1869</v>
      </c>
      <c r="DI28" s="219" t="e">
        <f>IF(AF34&gt;CS28,CU28,CU28-(CS28-AF34)*CT28)</f>
        <v>#VALUE!</v>
      </c>
      <c r="DJ28" s="219">
        <f>IF(AG34&gt;CS28,CU28,CU28-(CS28-AG34)*CT28)</f>
        <v>1869</v>
      </c>
      <c r="DK28" s="219" t="e">
        <f>IF(AH34&gt;CS28,CU28,CU28-(CS28-AH34)*CT28)</f>
        <v>#REF!</v>
      </c>
      <c r="DL28" s="219" t="e">
        <f>IF(AI34&gt;CS28,CU28,CU28-(CS28-AI34)*CT28)</f>
        <v>#REF!</v>
      </c>
    </row>
    <row r="29" spans="1:116" ht="15" customHeight="1" x14ac:dyDescent="0.25">
      <c r="A29" s="195"/>
      <c r="B29" s="283" t="s">
        <v>228</v>
      </c>
      <c r="C29" s="304"/>
      <c r="D29" s="267">
        <f>IF(C6="AB",Y38,IF(C6="BC",Y69,IF(C6="MB",Y86,IF(C6="NB",Y137,IF(C6="NF",Y171,IF(C6="NS",Y154,IF(C6="ON",Y17,IF(C6="PE",Y188,IF(C6="PQ",Y120,Y103)))))))))</f>
        <v>4929.8433599999989</v>
      </c>
      <c r="E29" s="265">
        <f>IF(C6="AB",Y38,IF(C6="BC",Y69,IF(C6="MB",Y86,IF(C6="NB",Y137,IF(C6="NF",Y171,IF(C6="NS",Y154,IF(C6="ON",U17,IF(C6="PE",Y188,IF(C6="PQ",Y120,Y103)))))))))</f>
        <v>-778.04199999999946</v>
      </c>
      <c r="F29" s="46"/>
      <c r="G29" s="474" t="s">
        <v>150</v>
      </c>
      <c r="H29" s="475"/>
      <c r="I29" s="475"/>
      <c r="J29" s="476" t="str">
        <f>I24</f>
        <v>Year 20</v>
      </c>
      <c r="K29" s="4"/>
      <c r="L29" s="4"/>
      <c r="M29" s="4"/>
      <c r="N29" s="4"/>
      <c r="O29" s="4"/>
      <c r="P29" s="4"/>
      <c r="Q29" s="2"/>
      <c r="R29" s="3" t="s">
        <v>38</v>
      </c>
      <c r="S29" s="97">
        <f t="shared" ref="S29:AG29" si="31">S8</f>
        <v>0</v>
      </c>
      <c r="T29" s="97">
        <f t="shared" si="31"/>
        <v>0</v>
      </c>
      <c r="U29" s="97">
        <f t="shared" si="31"/>
        <v>6914.4</v>
      </c>
      <c r="V29" s="97">
        <f t="shared" si="31"/>
        <v>0</v>
      </c>
      <c r="W29" s="97">
        <f t="shared" si="31"/>
        <v>3457.2</v>
      </c>
      <c r="X29" s="97">
        <f t="shared" si="31"/>
        <v>3457.2</v>
      </c>
      <c r="Y29" s="97">
        <f t="shared" si="31"/>
        <v>6914.4</v>
      </c>
      <c r="Z29" s="97">
        <f t="shared" si="31"/>
        <v>0</v>
      </c>
      <c r="AA29" s="97">
        <f t="shared" si="31"/>
        <v>9977.6540738307012</v>
      </c>
      <c r="AB29" s="97">
        <f t="shared" si="31"/>
        <v>0</v>
      </c>
      <c r="AC29" s="97">
        <f t="shared" si="31"/>
        <v>0</v>
      </c>
      <c r="AD29" s="97">
        <f t="shared" si="31"/>
        <v>2893.8618958322681</v>
      </c>
      <c r="AE29" s="97">
        <f t="shared" si="31"/>
        <v>0</v>
      </c>
      <c r="AF29" s="97">
        <f t="shared" si="31"/>
        <v>0</v>
      </c>
      <c r="AG29" s="97">
        <f t="shared" si="31"/>
        <v>0</v>
      </c>
      <c r="AH29" s="97">
        <f>AH8</f>
        <v>0</v>
      </c>
      <c r="AI29" s="97">
        <f>AI8</f>
        <v>4.3062274694583916E-2</v>
      </c>
      <c r="AK29" s="67">
        <f t="shared" si="29"/>
        <v>91832</v>
      </c>
      <c r="AL29" s="123">
        <v>126625</v>
      </c>
      <c r="AM29" s="111">
        <v>0.36</v>
      </c>
      <c r="AN29" s="112">
        <v>0.1515</v>
      </c>
      <c r="AO29" s="113">
        <v>0.2772</v>
      </c>
      <c r="AP29" s="13">
        <f t="shared" si="25"/>
        <v>34793</v>
      </c>
      <c r="AQ29" s="13">
        <f t="shared" si="26"/>
        <v>12525.48</v>
      </c>
      <c r="AR29" s="97">
        <f t="shared" si="30"/>
        <v>38008.25</v>
      </c>
      <c r="AS29" s="114">
        <f>AR28+AM29*(S33-AK29)</f>
        <v>10135.250000000002</v>
      </c>
      <c r="AT29" s="114">
        <f>AR28+AM29*(T33-AK29)</f>
        <v>73059.649999999994</v>
      </c>
      <c r="AU29" s="115">
        <f>AR28+AM29*(U33-AK29)</f>
        <v>8654.1236000000026</v>
      </c>
      <c r="AV29" s="115">
        <f>AR28+AM29*(V33-AK29)</f>
        <v>76026.85639999999</v>
      </c>
      <c r="AW29" s="115">
        <f>AR28+AM29*(W33-AK29)</f>
        <v>10878.29</v>
      </c>
      <c r="AX29" s="43">
        <f>AS28+AM29*(X33-AK29)</f>
        <v>60800.235000000001</v>
      </c>
      <c r="AY29" s="115">
        <f>AR28+AM29*(Y33-AK29)</f>
        <v>74545.73</v>
      </c>
      <c r="AZ29" s="115">
        <f>AR28+AM29*(Z33-AK29)</f>
        <v>-7576.7499999999964</v>
      </c>
      <c r="BA29" s="115">
        <f>AR28+AM29*(AA33-AK29)</f>
        <v>6914.0803443653022</v>
      </c>
      <c r="BB29" s="43">
        <f>AR28+AM29*(AB33-AK29)</f>
        <v>-7576.7499999999964</v>
      </c>
      <c r="BC29" s="43">
        <f>AR28+AM29*(AC33-AK29)</f>
        <v>6823.25</v>
      </c>
      <c r="BD29" s="43">
        <f>AR28+AM29*(AD33-AK29)</f>
        <v>-7061.0378949815349</v>
      </c>
      <c r="BE29" s="43">
        <f>AR28+AM29*(AE33-AK29)</f>
        <v>6823.25</v>
      </c>
      <c r="BF29" s="43" t="e">
        <f>AR28+AM29*(AF33-AK29)</f>
        <v>#VALUE!</v>
      </c>
      <c r="BG29" s="43">
        <f>AR28+AM29*(AG33-AK29)</f>
        <v>73059.649999999994</v>
      </c>
      <c r="BH29" s="43">
        <f>AR28+AM29*(AH33-AK29)</f>
        <v>-7576.7499999999964</v>
      </c>
      <c r="BI29" s="43">
        <f>AR28+AM29*(AI33-AK29)</f>
        <v>6823.25</v>
      </c>
      <c r="BJ29" s="115">
        <f>S27*AO29</f>
        <v>0</v>
      </c>
      <c r="BK29" s="115">
        <f>T27*AO29</f>
        <v>0</v>
      </c>
      <c r="BL29" s="115">
        <f>U27*AO29</f>
        <v>0</v>
      </c>
      <c r="BM29" s="115">
        <f>V27*AO29</f>
        <v>0</v>
      </c>
      <c r="BN29" s="115">
        <f>W27*AO29</f>
        <v>0</v>
      </c>
      <c r="BO29" s="115">
        <f>X27*AO29</f>
        <v>0</v>
      </c>
      <c r="BP29" s="43">
        <f>Y27*AO29</f>
        <v>0</v>
      </c>
      <c r="BQ29" s="43">
        <f>Z27*AO29</f>
        <v>27720</v>
      </c>
      <c r="BR29" s="43">
        <f>AA27*AO29</f>
        <v>0</v>
      </c>
      <c r="BS29" s="43">
        <f>AB27*AO29</f>
        <v>27720</v>
      </c>
      <c r="BT29" s="43">
        <f>AC27*AO29</f>
        <v>0</v>
      </c>
      <c r="BU29" s="43">
        <f>AD27*AO29</f>
        <v>27720</v>
      </c>
      <c r="BV29" s="43">
        <f>AE27*AO29</f>
        <v>0</v>
      </c>
      <c r="BW29" s="43">
        <f>AF27*AO29</f>
        <v>0</v>
      </c>
      <c r="BX29" s="43">
        <f>AG27*AO29</f>
        <v>95356.800000000003</v>
      </c>
      <c r="BY29" s="43" t="e">
        <f>AH27*AO29</f>
        <v>#REF!</v>
      </c>
      <c r="BZ29" s="43" t="e">
        <f>AI27*AO29</f>
        <v>#REF!</v>
      </c>
      <c r="CA29" s="116">
        <f>AN29*S29</f>
        <v>0</v>
      </c>
      <c r="CB29" s="44">
        <f>AN29*T29</f>
        <v>0</v>
      </c>
      <c r="CC29" s="44">
        <f>AN29*U29</f>
        <v>1047.5316</v>
      </c>
      <c r="CD29" s="44">
        <f>AN29*V29</f>
        <v>0</v>
      </c>
      <c r="CE29" s="44">
        <f>AN29*W29</f>
        <v>523.76580000000001</v>
      </c>
      <c r="CF29" s="44">
        <f>AN29*X29</f>
        <v>523.76580000000001</v>
      </c>
      <c r="CG29" s="44">
        <f>AN29*Y29</f>
        <v>1047.5316</v>
      </c>
      <c r="CH29" s="44">
        <f>AN29*Z29</f>
        <v>0</v>
      </c>
      <c r="CI29" s="44">
        <f>AN29*AA29</f>
        <v>1511.6145921853513</v>
      </c>
      <c r="CJ29" s="44">
        <f>AN29*AB29</f>
        <v>0</v>
      </c>
      <c r="CK29" s="44">
        <f>AN29*AC29</f>
        <v>0</v>
      </c>
      <c r="CL29" s="44">
        <f>AN29*AD29</f>
        <v>438.42007721858863</v>
      </c>
      <c r="CM29" s="44">
        <f>AN29*AE29</f>
        <v>0</v>
      </c>
      <c r="CN29" s="44">
        <f>AN29*AF29</f>
        <v>0</v>
      </c>
      <c r="CO29" s="44">
        <f>AN29*AG29</f>
        <v>0</v>
      </c>
      <c r="CP29" s="44">
        <f>AN29*AH29</f>
        <v>0</v>
      </c>
      <c r="CQ29" s="44">
        <f>AN29*AI29</f>
        <v>6.5239346162294628E-3</v>
      </c>
      <c r="DE29" s="4"/>
    </row>
    <row r="30" spans="1:116" ht="15.75" customHeight="1" x14ac:dyDescent="0.25">
      <c r="A30" s="194"/>
      <c r="B30" s="283" t="s">
        <v>224</v>
      </c>
      <c r="C30" s="304"/>
      <c r="D30" s="305">
        <f>E30</f>
        <v>7919.0785178316783</v>
      </c>
      <c r="E30" s="306">
        <f>H7</f>
        <v>7919.0785178316783</v>
      </c>
      <c r="F30" s="46"/>
      <c r="G30" s="477"/>
      <c r="H30" s="478"/>
      <c r="I30" s="478"/>
      <c r="J30" s="479"/>
      <c r="K30" s="4"/>
      <c r="L30" s="4"/>
      <c r="M30" s="4"/>
      <c r="N30" s="4"/>
      <c r="O30" s="4"/>
      <c r="P30" s="4"/>
      <c r="Q30" s="124"/>
      <c r="R30" s="125" t="s">
        <v>39</v>
      </c>
      <c r="S30" s="126">
        <f t="shared" ref="S30:Z30" si="32">S29*1.38</f>
        <v>0</v>
      </c>
      <c r="T30" s="126">
        <f t="shared" si="32"/>
        <v>0</v>
      </c>
      <c r="U30" s="126">
        <f t="shared" si="32"/>
        <v>9541.8719999999994</v>
      </c>
      <c r="V30" s="126">
        <f t="shared" si="32"/>
        <v>0</v>
      </c>
      <c r="W30" s="126">
        <f t="shared" si="32"/>
        <v>4770.9359999999997</v>
      </c>
      <c r="X30" s="126">
        <f t="shared" si="32"/>
        <v>4770.9359999999997</v>
      </c>
      <c r="Y30" s="126">
        <f t="shared" si="32"/>
        <v>9541.8719999999994</v>
      </c>
      <c r="Z30" s="126">
        <f t="shared" si="32"/>
        <v>0</v>
      </c>
      <c r="AA30" s="126">
        <f t="shared" ref="AA30:AH30" si="33">AA29*1.38</f>
        <v>13769.162621886366</v>
      </c>
      <c r="AB30" s="126">
        <f t="shared" si="33"/>
        <v>0</v>
      </c>
      <c r="AC30" s="126">
        <f t="shared" si="33"/>
        <v>0</v>
      </c>
      <c r="AD30" s="126">
        <f t="shared" si="33"/>
        <v>3993.5294162485297</v>
      </c>
      <c r="AE30" s="126">
        <f t="shared" si="33"/>
        <v>0</v>
      </c>
      <c r="AF30" s="126">
        <f t="shared" si="33"/>
        <v>0</v>
      </c>
      <c r="AG30" s="126">
        <f t="shared" si="33"/>
        <v>0</v>
      </c>
      <c r="AH30" s="126">
        <f t="shared" si="33"/>
        <v>0</v>
      </c>
      <c r="AI30" s="126">
        <f t="shared" ref="AI30" si="34">AI29*1.38</f>
        <v>5.9425939078525801E-2</v>
      </c>
      <c r="AJ30" s="127"/>
      <c r="AK30" s="118">
        <f t="shared" si="29"/>
        <v>126626</v>
      </c>
      <c r="AL30" s="119">
        <v>142353</v>
      </c>
      <c r="AM30" s="120">
        <v>0.38</v>
      </c>
      <c r="AN30" s="121">
        <v>0.17910000000000001</v>
      </c>
      <c r="AO30" s="122">
        <v>0.3004</v>
      </c>
      <c r="AP30" s="128">
        <f t="shared" si="25"/>
        <v>15727</v>
      </c>
      <c r="AQ30" s="128">
        <f t="shared" si="26"/>
        <v>5976.26</v>
      </c>
      <c r="AR30" s="126">
        <f t="shared" si="30"/>
        <v>43984.51</v>
      </c>
      <c r="AS30" s="129">
        <f>AR29+AM30*(S33-AK30)</f>
        <v>8586.369999999999</v>
      </c>
      <c r="AT30" s="129">
        <f>AR29+AM30*(T33-AK30)</f>
        <v>75006.570000000007</v>
      </c>
      <c r="AU30" s="129">
        <f>AR29+AM30*(U33-AK30)</f>
        <v>7022.958800000004</v>
      </c>
      <c r="AV30" s="129">
        <f>AR29+AM30*(V33-AK30)</f>
        <v>78138.621199999994</v>
      </c>
      <c r="AW30" s="115">
        <f>AR29+AM30*(W33-AK30)</f>
        <v>9370.6899999999987</v>
      </c>
      <c r="AX30" s="43">
        <f>AR29+AM30*(X33-AK30)</f>
        <v>75790.89</v>
      </c>
      <c r="AY30" s="115">
        <f>AR29+AM30*(Y33-AK30)</f>
        <v>76575.209999999992</v>
      </c>
      <c r="AZ30" s="115">
        <f>AR29+AM30*(Z33-AK30)</f>
        <v>-10109.629999999997</v>
      </c>
      <c r="BA30" s="115">
        <f>AR29+AM30*(AA33-AK30)</f>
        <v>5186.2464746078113</v>
      </c>
      <c r="BB30" s="43">
        <f>AR29+AM30*(AB33-AK30)</f>
        <v>-10109.629999999997</v>
      </c>
      <c r="BC30" s="43">
        <f>AR29+AM30*(AC33-AK30)</f>
        <v>5090.3700000000026</v>
      </c>
      <c r="BD30" s="43">
        <f>AR29+AM30*(AD33-AK30)</f>
        <v>-9565.2672224805065</v>
      </c>
      <c r="BE30" s="43">
        <f>AR29+AM30*(AE33-AK30)</f>
        <v>5090.3700000000026</v>
      </c>
      <c r="BF30" s="43" t="e">
        <f>AR29+AM30*(AF33-AK30)</f>
        <v>#VALUE!</v>
      </c>
      <c r="BG30" s="43">
        <f>AR29+AM30*(AG33-AK30)</f>
        <v>75006.570000000007</v>
      </c>
      <c r="BH30" s="43">
        <f>AR29+AM30*(AH33-AK30)</f>
        <v>-10109.629999999997</v>
      </c>
      <c r="BI30" s="43">
        <f>AR29+AM30*(AI33-AK30)</f>
        <v>5090.3700000000026</v>
      </c>
      <c r="BJ30" s="129">
        <f>S27*AO30</f>
        <v>0</v>
      </c>
      <c r="BK30" s="129">
        <f>T27*AO30</f>
        <v>0</v>
      </c>
      <c r="BL30" s="129">
        <f>U27*AO30</f>
        <v>0</v>
      </c>
      <c r="BM30" s="129">
        <f>V27*AO30</f>
        <v>0</v>
      </c>
      <c r="BN30" s="129">
        <f>W27*AO30</f>
        <v>0</v>
      </c>
      <c r="BO30" s="129">
        <f>X27*AP30</f>
        <v>0</v>
      </c>
      <c r="BP30" s="43">
        <f>Y27*AO30</f>
        <v>0</v>
      </c>
      <c r="BQ30" s="43">
        <f>Z27*AO30</f>
        <v>30040</v>
      </c>
      <c r="BR30" s="43">
        <f>AA27*AO30</f>
        <v>0</v>
      </c>
      <c r="BS30" s="43">
        <f>AB27*AO30</f>
        <v>30040</v>
      </c>
      <c r="BT30" s="43">
        <f>AC27*AO30</f>
        <v>0</v>
      </c>
      <c r="BU30" s="43">
        <f>AD27*AO30</f>
        <v>30040</v>
      </c>
      <c r="BV30" s="43">
        <f>AE27*AO30</f>
        <v>0</v>
      </c>
      <c r="BW30" s="43">
        <f>AF27*AO30</f>
        <v>0</v>
      </c>
      <c r="BX30" s="43">
        <f>AG27*AO30</f>
        <v>103337.60000000001</v>
      </c>
      <c r="BY30" s="43" t="e">
        <f>AH27*AO30</f>
        <v>#REF!</v>
      </c>
      <c r="BZ30" s="43" t="e">
        <f>AI27*AO30</f>
        <v>#REF!</v>
      </c>
      <c r="CA30" s="116">
        <f>AN30*S29</f>
        <v>0</v>
      </c>
      <c r="CB30" s="44">
        <f>AN30*T29</f>
        <v>0</v>
      </c>
      <c r="CC30" s="44">
        <f>AN30*U29</f>
        <v>1238.36904</v>
      </c>
      <c r="CD30" s="44">
        <f>AN30*V29</f>
        <v>0</v>
      </c>
      <c r="CE30" s="44">
        <f>AN30*W29</f>
        <v>619.18452000000002</v>
      </c>
      <c r="CF30" s="44">
        <f>AN30*X29</f>
        <v>619.18452000000002</v>
      </c>
      <c r="CG30" s="44">
        <f>AN30*Y29</f>
        <v>1238.36904</v>
      </c>
      <c r="CH30" s="44">
        <f>AN30*Z29</f>
        <v>0</v>
      </c>
      <c r="CI30" s="44">
        <f>AN30*AA29</f>
        <v>1786.9978446230787</v>
      </c>
      <c r="CJ30" s="44">
        <f>AN30*AB29</f>
        <v>0</v>
      </c>
      <c r="CK30" s="44">
        <f>AN30*AC29</f>
        <v>0</v>
      </c>
      <c r="CL30" s="44">
        <f>AN30*AD29</f>
        <v>518.29066554355927</v>
      </c>
      <c r="CM30" s="44">
        <f>AN30*AE29</f>
        <v>0</v>
      </c>
      <c r="CN30" s="44">
        <f>AN30*AF29</f>
        <v>0</v>
      </c>
      <c r="CO30" s="44">
        <f>AN30*AG29</f>
        <v>0</v>
      </c>
      <c r="CP30" s="44">
        <f>AN30*AH29</f>
        <v>0</v>
      </c>
      <c r="CQ30" s="44">
        <f>AN30*AI29</f>
        <v>7.7124533977999798E-3</v>
      </c>
      <c r="CR30" s="127"/>
      <c r="CS30" s="127"/>
      <c r="CT30" s="127"/>
      <c r="CU30" s="127"/>
      <c r="CV30" s="127"/>
      <c r="CW30" s="127"/>
      <c r="CX30" s="127"/>
      <c r="CY30" s="127"/>
      <c r="CZ30" s="127"/>
      <c r="DA30" s="127"/>
      <c r="DB30" s="127"/>
      <c r="DE30" s="4"/>
    </row>
    <row r="31" spans="1:116" ht="15.75" x14ac:dyDescent="0.25">
      <c r="A31" s="195"/>
      <c r="B31" s="188" t="s">
        <v>226</v>
      </c>
      <c r="C31" s="284"/>
      <c r="D31" s="228">
        <f>D28-D29-D30</f>
        <v>-1806.5218778316776</v>
      </c>
      <c r="E31" s="218">
        <f>E28-E29-E30</f>
        <v>3901.3634821683208</v>
      </c>
      <c r="F31" s="46"/>
      <c r="G31" s="209"/>
      <c r="H31" s="202"/>
      <c r="I31" s="203" t="s">
        <v>155</v>
      </c>
      <c r="J31" s="210" t="s">
        <v>156</v>
      </c>
      <c r="K31" s="4"/>
      <c r="L31" s="4"/>
      <c r="M31" s="4"/>
      <c r="N31" s="4"/>
      <c r="O31" s="4"/>
      <c r="P31" s="4"/>
      <c r="Q31" s="2"/>
      <c r="R31" s="3" t="s">
        <v>40</v>
      </c>
      <c r="S31" s="97">
        <f t="shared" ref="S31:AG31" si="35">S10</f>
        <v>0</v>
      </c>
      <c r="T31" s="97">
        <f t="shared" si="35"/>
        <v>0</v>
      </c>
      <c r="U31" s="97">
        <f t="shared" si="35"/>
        <v>0</v>
      </c>
      <c r="V31" s="97">
        <f t="shared" si="35"/>
        <v>0</v>
      </c>
      <c r="W31" s="97">
        <f t="shared" si="35"/>
        <v>0</v>
      </c>
      <c r="X31" s="97">
        <f t="shared" si="35"/>
        <v>0</v>
      </c>
      <c r="Y31" s="97">
        <f t="shared" si="35"/>
        <v>0</v>
      </c>
      <c r="Z31" s="97">
        <f t="shared" si="35"/>
        <v>0</v>
      </c>
      <c r="AA31" s="97">
        <f t="shared" si="35"/>
        <v>504.6130242516665</v>
      </c>
      <c r="AB31" s="97">
        <f t="shared" si="35"/>
        <v>0</v>
      </c>
      <c r="AC31" s="97">
        <f t="shared" si="35"/>
        <v>0</v>
      </c>
      <c r="AD31" s="97">
        <f t="shared" si="35"/>
        <v>2865.0672501025942</v>
      </c>
      <c r="AE31" s="97">
        <f t="shared" si="35"/>
        <v>0</v>
      </c>
      <c r="AF31" s="97" t="str">
        <f t="shared" si="35"/>
        <v>Total Drag</v>
      </c>
      <c r="AG31" s="97">
        <f t="shared" si="35"/>
        <v>0</v>
      </c>
      <c r="AH31" s="97">
        <f>AH10</f>
        <v>0</v>
      </c>
      <c r="AI31" s="97">
        <f>AI10</f>
        <v>0</v>
      </c>
      <c r="AK31" s="67">
        <f t="shared" si="29"/>
        <v>142354</v>
      </c>
      <c r="AL31" s="123">
        <v>151950</v>
      </c>
      <c r="AM31" s="111">
        <v>0.41</v>
      </c>
      <c r="AN31" s="112">
        <v>0.2205</v>
      </c>
      <c r="AO31" s="113">
        <v>0.3352</v>
      </c>
      <c r="AP31" s="13">
        <f t="shared" si="25"/>
        <v>9596</v>
      </c>
      <c r="AQ31" s="13">
        <f t="shared" si="26"/>
        <v>3934.3599999999997</v>
      </c>
      <c r="AR31" s="97">
        <f t="shared" si="30"/>
        <v>47918.87</v>
      </c>
      <c r="AS31" s="114">
        <f>AR30+AM31*(S33-AK31)</f>
        <v>5791.3700000000026</v>
      </c>
      <c r="AT31" s="114">
        <f>AR30+AM31*(T33-AK31)</f>
        <v>77455.26999999999</v>
      </c>
      <c r="AU31" s="115">
        <f>AR30+AM31*(U33-AK31)</f>
        <v>4104.5316000000093</v>
      </c>
      <c r="AV31" s="115">
        <f>AR30+AM31*(V33-AK31)</f>
        <v>80834.588399999993</v>
      </c>
      <c r="AW31" s="115">
        <f>AR30+AM31*(W33-AK31)</f>
        <v>6637.6100000000079</v>
      </c>
      <c r="AX31" s="43">
        <f>AR30+AM31*(X33-AK31)</f>
        <v>78301.510000000009</v>
      </c>
      <c r="AY31" s="115">
        <f>AR30+AM31*(Y33-AK31)</f>
        <v>79147.75</v>
      </c>
      <c r="AZ31" s="115">
        <f>AR30+AM31*(Z33-AK31)</f>
        <v>-14380.629999999997</v>
      </c>
      <c r="BA31" s="115">
        <f>AR30+AM31*(AA33-AK31)</f>
        <v>2122.815669971591</v>
      </c>
      <c r="BB31" s="43">
        <f>AR30+AM31*(AB33-AK31)</f>
        <v>-14380.629999999997</v>
      </c>
      <c r="BC31" s="43">
        <f>AR30+AM31*(AC33-AK31)</f>
        <v>2019.3700000000026</v>
      </c>
      <c r="BD31" s="43">
        <f>AR30+AM31*(AD33-AK31)</f>
        <v>-13793.291213728968</v>
      </c>
      <c r="BE31" s="43">
        <f>AR30+AM31*(AE33-AK31)</f>
        <v>2019.3700000000026</v>
      </c>
      <c r="BF31" s="43" t="e">
        <f>AR30+AM31*(AF33-AK31)</f>
        <v>#VALUE!</v>
      </c>
      <c r="BG31" s="43">
        <f>AR30+AM31*(AG33-AK31)</f>
        <v>77455.26999999999</v>
      </c>
      <c r="BH31" s="43">
        <f>AR30+AM31*(AH33-AK31)</f>
        <v>-14380.629999999997</v>
      </c>
      <c r="BI31" s="43">
        <f>AR30+AM31*(AI33-AK31)</f>
        <v>2019.3700000000026</v>
      </c>
      <c r="BJ31" s="115">
        <f>S27*AO31</f>
        <v>0</v>
      </c>
      <c r="BK31" s="115">
        <f>T27*AO31</f>
        <v>0</v>
      </c>
      <c r="BL31" s="115">
        <f>U27*AO31</f>
        <v>0</v>
      </c>
      <c r="BM31" s="115">
        <f>V27*AO31</f>
        <v>0</v>
      </c>
      <c r="BN31" s="115">
        <f>W27*AO31</f>
        <v>0</v>
      </c>
      <c r="BO31" s="115">
        <f>X27*AO31</f>
        <v>0</v>
      </c>
      <c r="BP31" s="43">
        <f>Y27*AO31</f>
        <v>0</v>
      </c>
      <c r="BQ31" s="43">
        <f>Z27*AO31</f>
        <v>33520</v>
      </c>
      <c r="BR31" s="43">
        <f>AA27*AO31</f>
        <v>0</v>
      </c>
      <c r="BS31" s="43">
        <f>AB27*AO31</f>
        <v>33520</v>
      </c>
      <c r="BT31" s="43">
        <f>AC27*AO31</f>
        <v>0</v>
      </c>
      <c r="BU31" s="43">
        <f>AD27*AO31</f>
        <v>33520</v>
      </c>
      <c r="BV31" s="43">
        <f>AE27*AO31</f>
        <v>0</v>
      </c>
      <c r="BW31" s="43">
        <f>AF27*AO31</f>
        <v>0</v>
      </c>
      <c r="BX31" s="43">
        <f>AG27*AO31</f>
        <v>115308.8</v>
      </c>
      <c r="BY31" s="43" t="e">
        <f>AH27*AO31</f>
        <v>#REF!</v>
      </c>
      <c r="BZ31" s="43" t="e">
        <f>AI27*AO31</f>
        <v>#REF!</v>
      </c>
      <c r="CA31" s="116">
        <f>AN31*S29</f>
        <v>0</v>
      </c>
      <c r="CB31" s="44">
        <f>AN31*T29</f>
        <v>0</v>
      </c>
      <c r="CC31" s="44">
        <f>AN31*U29</f>
        <v>1524.6251999999999</v>
      </c>
      <c r="CD31" s="44">
        <f>AN31*V29</f>
        <v>0</v>
      </c>
      <c r="CE31" s="44">
        <f>AN31*W29</f>
        <v>762.31259999999997</v>
      </c>
      <c r="CF31" s="44">
        <f>AN31*X29</f>
        <v>762.31259999999997</v>
      </c>
      <c r="CG31" s="44">
        <f>AN31*Y29</f>
        <v>1524.6251999999999</v>
      </c>
      <c r="CH31" s="44">
        <f>AN31*Z29</f>
        <v>0</v>
      </c>
      <c r="CI31" s="44">
        <f>AN31*AA29</f>
        <v>2200.0727232796698</v>
      </c>
      <c r="CJ31" s="44">
        <f>AN31*AB29</f>
        <v>0</v>
      </c>
      <c r="CK31" s="44">
        <f>AN31*AC29</f>
        <v>0</v>
      </c>
      <c r="CL31" s="44">
        <f>AN31*AD29</f>
        <v>638.09654803101512</v>
      </c>
      <c r="CM31" s="44">
        <f>AN31*AE29</f>
        <v>0</v>
      </c>
      <c r="CN31" s="44">
        <f>AN31*AF29</f>
        <v>0</v>
      </c>
      <c r="CO31" s="44">
        <f>AN31*AG29</f>
        <v>0</v>
      </c>
      <c r="CP31" s="44">
        <f>AN31*AH29</f>
        <v>0</v>
      </c>
      <c r="CQ31" s="44">
        <f>AN31*AI29</f>
        <v>9.495231570155754E-3</v>
      </c>
      <c r="DE31" s="4"/>
    </row>
    <row r="32" spans="1:116" ht="15.75" x14ac:dyDescent="0.25">
      <c r="A32" s="194"/>
      <c r="B32" s="188" t="s">
        <v>229</v>
      </c>
      <c r="C32" s="284"/>
      <c r="D32" s="307">
        <f>E32</f>
        <v>17200</v>
      </c>
      <c r="E32" s="308">
        <f>H15</f>
        <v>17200</v>
      </c>
      <c r="F32" s="46"/>
      <c r="G32" s="209" t="s">
        <v>12</v>
      </c>
      <c r="H32" s="202"/>
      <c r="I32" s="247">
        <v>0</v>
      </c>
      <c r="J32" s="248">
        <v>0</v>
      </c>
      <c r="K32" s="4"/>
      <c r="L32" s="4"/>
      <c r="M32" s="4"/>
      <c r="N32" s="4"/>
      <c r="O32" s="4"/>
      <c r="P32" s="4"/>
      <c r="Q32" s="2"/>
      <c r="R32" s="3" t="s">
        <v>41</v>
      </c>
      <c r="S32" s="97">
        <f t="shared" ref="S32:AG32" si="36">S11</f>
        <v>0</v>
      </c>
      <c r="T32" s="97">
        <f t="shared" si="36"/>
        <v>0</v>
      </c>
      <c r="U32" s="97">
        <f t="shared" si="36"/>
        <v>0</v>
      </c>
      <c r="V32" s="97">
        <f t="shared" si="36"/>
        <v>0</v>
      </c>
      <c r="W32" s="97">
        <f t="shared" si="36"/>
        <v>0</v>
      </c>
      <c r="X32" s="97">
        <f t="shared" si="36"/>
        <v>0</v>
      </c>
      <c r="Y32" s="97">
        <f t="shared" si="36"/>
        <v>0</v>
      </c>
      <c r="Z32" s="97">
        <f t="shared" si="36"/>
        <v>0</v>
      </c>
      <c r="AA32" s="97">
        <f t="shared" si="36"/>
        <v>252.30651212583325</v>
      </c>
      <c r="AB32" s="97">
        <f t="shared" si="36"/>
        <v>0</v>
      </c>
      <c r="AC32" s="97">
        <f t="shared" si="36"/>
        <v>0</v>
      </c>
      <c r="AD32" s="97">
        <f t="shared" si="36"/>
        <v>1432.5336250512971</v>
      </c>
      <c r="AE32" s="97">
        <f t="shared" si="36"/>
        <v>0</v>
      </c>
      <c r="AF32" s="97" t="e">
        <f t="shared" si="36"/>
        <v>#VALUE!</v>
      </c>
      <c r="AG32" s="97">
        <f t="shared" si="36"/>
        <v>0</v>
      </c>
      <c r="AH32" s="97">
        <f>AH11</f>
        <v>0</v>
      </c>
      <c r="AI32" s="97">
        <f>AI11</f>
        <v>0</v>
      </c>
      <c r="AJ32" s="16" t="s">
        <v>67</v>
      </c>
      <c r="AK32" s="118">
        <f t="shared" si="29"/>
        <v>151951</v>
      </c>
      <c r="AL32" s="119">
        <v>202600</v>
      </c>
      <c r="AM32" s="120">
        <v>0.42</v>
      </c>
      <c r="AN32" s="121">
        <v>0.23430000000000001</v>
      </c>
      <c r="AO32" s="122">
        <v>0.3468</v>
      </c>
      <c r="AP32" s="13">
        <f t="shared" si="25"/>
        <v>50649</v>
      </c>
      <c r="AQ32" s="13">
        <f t="shared" si="26"/>
        <v>21272.579999999998</v>
      </c>
      <c r="AR32" s="97">
        <f t="shared" si="30"/>
        <v>69191.45</v>
      </c>
      <c r="AS32" s="114">
        <f>AR31+AM32*(S33-AK32)</f>
        <v>4763.4500000000044</v>
      </c>
      <c r="AT32" s="114">
        <f>AR31+AM32*(T33-AK32)</f>
        <v>78175.25</v>
      </c>
      <c r="AU32" s="115">
        <f>AR31+AM32*(U33-AK32)</f>
        <v>3035.4692000000068</v>
      </c>
      <c r="AV32" s="115">
        <f>AR31+AM32*(V33-AK32)</f>
        <v>81636.9908</v>
      </c>
      <c r="AW32" s="115">
        <f>AR31+AM32*(W33-AK32)</f>
        <v>5630.3300000000017</v>
      </c>
      <c r="AX32" s="43">
        <f>AR31+AM32*(X33-AK32)</f>
        <v>79042.13</v>
      </c>
      <c r="AY32" s="115">
        <f>AR31+AM32*(Y33-AK32)</f>
        <v>79909.010000000009</v>
      </c>
      <c r="AZ32" s="115">
        <f>AR31+AM32*(Z33-AK32)</f>
        <v>-15900.549999999996</v>
      </c>
      <c r="BA32" s="115">
        <f>AR31+AM32*(AA33-AK32)</f>
        <v>1005.4187350928478</v>
      </c>
      <c r="BB32" s="43">
        <f>AR31+AM32*(AB33-AK32)</f>
        <v>-15900.549999999996</v>
      </c>
      <c r="BC32" s="43">
        <f>AR31+AM32*(AC33-AK32)</f>
        <v>899.45000000000437</v>
      </c>
      <c r="BD32" s="43">
        <f>AR31+AM32*(AD33-AK32)</f>
        <v>-15298.885877478453</v>
      </c>
      <c r="BE32" s="43">
        <f>AR31+AM32*(AE33-AK32)</f>
        <v>899.45000000000437</v>
      </c>
      <c r="BF32" s="43" t="e">
        <f>AR31+AM32*(AF33-AK32)</f>
        <v>#VALUE!</v>
      </c>
      <c r="BG32" s="43">
        <f>AR31+AM32*(AG33-AK32)</f>
        <v>78175.25</v>
      </c>
      <c r="BH32" s="43">
        <f>AR31+AM32*(AH33-AK32)</f>
        <v>-15900.549999999996</v>
      </c>
      <c r="BI32" s="43">
        <f>AR31+AM32*(AI33-AK32)</f>
        <v>899.45000000000437</v>
      </c>
      <c r="BJ32" s="115">
        <f>S27*AO32</f>
        <v>0</v>
      </c>
      <c r="BK32" s="115">
        <f>T27*AO32</f>
        <v>0</v>
      </c>
      <c r="BL32" s="115">
        <f>U27*AO32</f>
        <v>0</v>
      </c>
      <c r="BM32" s="115">
        <f>V27*AO32</f>
        <v>0</v>
      </c>
      <c r="BN32" s="115">
        <f>W27*AO32</f>
        <v>0</v>
      </c>
      <c r="BO32" s="115">
        <f>X27*AO32</f>
        <v>0</v>
      </c>
      <c r="BP32" s="43">
        <f>Y27*AO32</f>
        <v>0</v>
      </c>
      <c r="BQ32" s="43">
        <f>Z27*AO32</f>
        <v>34680</v>
      </c>
      <c r="BR32" s="43">
        <f>AA27*AO32</f>
        <v>0</v>
      </c>
      <c r="BS32" s="43">
        <f>AB27*AO32</f>
        <v>34680</v>
      </c>
      <c r="BT32" s="43">
        <f>AC27*AO32</f>
        <v>0</v>
      </c>
      <c r="BU32" s="43">
        <f>AD27*AO32</f>
        <v>34680</v>
      </c>
      <c r="BV32" s="43">
        <f>AE27*AO32</f>
        <v>0</v>
      </c>
      <c r="BW32" s="43">
        <f>AF27*AO32</f>
        <v>0</v>
      </c>
      <c r="BX32" s="43">
        <f>AG27*AO32</f>
        <v>119299.2</v>
      </c>
      <c r="BY32" s="43" t="e">
        <f>AH27*AO32</f>
        <v>#REF!</v>
      </c>
      <c r="BZ32" s="43" t="e">
        <f>AI27*AO32</f>
        <v>#REF!</v>
      </c>
      <c r="CA32" s="116">
        <f>AN32*S29</f>
        <v>0</v>
      </c>
      <c r="CB32" s="44">
        <f>AN32*T29</f>
        <v>0</v>
      </c>
      <c r="CC32" s="44">
        <f>AN32*U29</f>
        <v>1620.0439200000001</v>
      </c>
      <c r="CD32" s="44">
        <f>AN32*V29</f>
        <v>0</v>
      </c>
      <c r="CE32" s="44">
        <f>AN32*W29</f>
        <v>810.02196000000004</v>
      </c>
      <c r="CF32" s="44">
        <f>AN32*X29</f>
        <v>810.02196000000004</v>
      </c>
      <c r="CG32" s="44">
        <f>AN32*Y29</f>
        <v>1620.0439200000001</v>
      </c>
      <c r="CH32" s="44">
        <f>AN32*Z29</f>
        <v>0</v>
      </c>
      <c r="CI32" s="44">
        <f>AN32*AA29</f>
        <v>2337.7643494985332</v>
      </c>
      <c r="CJ32" s="44">
        <f>AN32*AB29</f>
        <v>0</v>
      </c>
      <c r="CK32" s="44">
        <f>AN32*AC29</f>
        <v>0</v>
      </c>
      <c r="CL32" s="44">
        <f>AN32*AD29</f>
        <v>678.03184219350044</v>
      </c>
      <c r="CM32" s="44">
        <f>AN32*AE29</f>
        <v>0</v>
      </c>
      <c r="CN32" s="44">
        <f>AN32*AF29</f>
        <v>0</v>
      </c>
      <c r="CO32" s="44">
        <f>AN32*AG29</f>
        <v>0</v>
      </c>
      <c r="CP32" s="44">
        <f>AN32*AH29</f>
        <v>0</v>
      </c>
      <c r="CQ32" s="44">
        <f>AN32*AI29</f>
        <v>1.0089490960941012E-2</v>
      </c>
      <c r="DE32" s="4"/>
    </row>
    <row r="33" spans="1:109" ht="16.5" thickBot="1" x14ac:dyDescent="0.3">
      <c r="A33" s="195"/>
      <c r="B33" s="309" t="s">
        <v>231</v>
      </c>
      <c r="C33" s="310"/>
      <c r="D33" s="311">
        <f>D31+D32</f>
        <v>15393.478122168322</v>
      </c>
      <c r="E33" s="312">
        <f>E31+E32</f>
        <v>21101.363482168323</v>
      </c>
      <c r="F33" s="46"/>
      <c r="G33" s="209" t="s">
        <v>153</v>
      </c>
      <c r="H33" s="202"/>
      <c r="I33" s="247">
        <v>40000</v>
      </c>
      <c r="J33" s="248">
        <v>0</v>
      </c>
      <c r="K33" s="4"/>
      <c r="L33" s="4"/>
      <c r="M33" s="4"/>
      <c r="N33" s="4"/>
      <c r="O33" s="4"/>
      <c r="P33" s="4"/>
      <c r="Q33" s="2" t="s">
        <v>68</v>
      </c>
      <c r="R33" s="14" t="s">
        <v>43</v>
      </c>
      <c r="S33" s="130">
        <f>S24-S25+S32</f>
        <v>49200</v>
      </c>
      <c r="T33" s="130">
        <f t="shared" ref="T33:Z33" si="37">T24-T25+T32</f>
        <v>223990</v>
      </c>
      <c r="U33" s="130">
        <f t="shared" si="37"/>
        <v>45085.760000000002</v>
      </c>
      <c r="V33" s="130">
        <f t="shared" si="37"/>
        <v>232232.24</v>
      </c>
      <c r="W33" s="130">
        <f t="shared" si="37"/>
        <v>51264</v>
      </c>
      <c r="X33" s="130">
        <f t="shared" si="37"/>
        <v>226054</v>
      </c>
      <c r="Y33" s="130">
        <f t="shared" si="37"/>
        <v>228118</v>
      </c>
      <c r="Z33" s="130">
        <f t="shared" si="37"/>
        <v>0</v>
      </c>
      <c r="AA33" s="130">
        <f t="shared" ref="AA33:AH33" si="38">AA24-AA25+AA32</f>
        <v>40252.306512125833</v>
      </c>
      <c r="AB33" s="130">
        <f t="shared" si="38"/>
        <v>0</v>
      </c>
      <c r="AC33" s="130">
        <f t="shared" si="38"/>
        <v>40000</v>
      </c>
      <c r="AD33" s="130">
        <f t="shared" si="38"/>
        <v>1432.5336250512971</v>
      </c>
      <c r="AE33" s="130">
        <f t="shared" si="38"/>
        <v>40000</v>
      </c>
      <c r="AF33" s="130" t="e">
        <f t="shared" si="38"/>
        <v>#VALUE!</v>
      </c>
      <c r="AG33" s="130">
        <f t="shared" si="38"/>
        <v>223990</v>
      </c>
      <c r="AH33" s="130">
        <f t="shared" si="38"/>
        <v>0</v>
      </c>
      <c r="AI33" s="130">
        <f t="shared" ref="AI33" si="39">AI24-AI25+AI32</f>
        <v>40000</v>
      </c>
      <c r="AJ33">
        <f>IF(S33&lt;AL27,AM27,IF(S33&lt;AL28,AM28,IF(S33&lt;AL29,AM29,IF(S33&lt;AL30,AM30,IF(S33&lt;AL31,AM31,IF(S33&lt;AL32,AM32,IF(S33&lt;AL33,AM33,IF(S33&lt;AL34,AM34,AM35))))))))</f>
        <v>0.30499999999999999</v>
      </c>
      <c r="AK33" s="67">
        <f t="shared" si="29"/>
        <v>202601</v>
      </c>
      <c r="AL33" s="123">
        <v>202800</v>
      </c>
      <c r="AM33" s="111">
        <v>0.43</v>
      </c>
      <c r="AN33" s="112">
        <v>0.24809999999999999</v>
      </c>
      <c r="AO33" s="113">
        <v>0.3584</v>
      </c>
      <c r="AP33" s="13">
        <f t="shared" si="25"/>
        <v>199</v>
      </c>
      <c r="AQ33" s="13">
        <f t="shared" si="26"/>
        <v>85.57</v>
      </c>
      <c r="AR33" s="97">
        <f t="shared" si="30"/>
        <v>69277.02</v>
      </c>
      <c r="AS33" s="114">
        <f>AR32+AM33*(S33-AK33)</f>
        <v>3229.0200000000041</v>
      </c>
      <c r="AT33" s="114">
        <f>AR32+AM33*(T33-AK33)</f>
        <v>78388.72</v>
      </c>
      <c r="AU33" s="115">
        <f>AR32+AM33*(U33-AK33)</f>
        <v>1459.8968000000023</v>
      </c>
      <c r="AV33" s="115">
        <f>AR32+AM33*(V33-AK33)</f>
        <v>81932.883199999997</v>
      </c>
      <c r="AW33" s="115">
        <f>AR32+AM33*(W33-AK33)</f>
        <v>4116.5400000000009</v>
      </c>
      <c r="AX33" s="43">
        <f>AR32+AM33*(X33-AK33)</f>
        <v>79276.239999999991</v>
      </c>
      <c r="AY33" s="115">
        <f>AR32+AM33*(Y33-AK33)</f>
        <v>80163.759999999995</v>
      </c>
      <c r="AZ33" s="115">
        <f>AR32+AM33*(Z33-AK33)</f>
        <v>-17926.979999999996</v>
      </c>
      <c r="BA33" s="115">
        <f>AR32+AM33*(AA33-AK33)</f>
        <v>-618.48819978589017</v>
      </c>
      <c r="BB33" s="43">
        <f>AR32+AM33*(AB33-AK33)</f>
        <v>-17926.979999999996</v>
      </c>
      <c r="BC33" s="43">
        <f>AR32+AM33*(AC33-AK33)</f>
        <v>-726.97999999999593</v>
      </c>
      <c r="BD33" s="43">
        <f>AR32+AM33*(AD33-AK33)</f>
        <v>-17310.990541227948</v>
      </c>
      <c r="BE33" s="43">
        <f>AR32+AM33*(AE33-AK33)</f>
        <v>-726.97999999999593</v>
      </c>
      <c r="BF33" s="43" t="e">
        <f>AR32+AM33*(AF33-AK33)</f>
        <v>#VALUE!</v>
      </c>
      <c r="BG33" s="43">
        <f>AR32+AM33*(AG33-AK33)</f>
        <v>78388.72</v>
      </c>
      <c r="BH33" s="43">
        <f>AR32+AM33*(AH33-AK33)</f>
        <v>-17926.979999999996</v>
      </c>
      <c r="BI33" s="43">
        <f>AR32+AM33*(AI33-AK33)</f>
        <v>-726.97999999999593</v>
      </c>
      <c r="BJ33" s="115">
        <f>S27*AO33</f>
        <v>0</v>
      </c>
      <c r="BK33" s="115">
        <f>T27*AO33</f>
        <v>0</v>
      </c>
      <c r="BL33" s="115">
        <f>U27*AO33</f>
        <v>0</v>
      </c>
      <c r="BM33" s="115">
        <f>V27*AO33</f>
        <v>0</v>
      </c>
      <c r="BN33" s="115">
        <f>W27*AO33</f>
        <v>0</v>
      </c>
      <c r="BO33" s="115">
        <f>X27*AO33</f>
        <v>0</v>
      </c>
      <c r="BP33" s="43">
        <f>Y27*AO33</f>
        <v>0</v>
      </c>
      <c r="BQ33" s="43">
        <f>Z27*AO33</f>
        <v>35840</v>
      </c>
      <c r="BR33" s="43">
        <f>AA27*AO33</f>
        <v>0</v>
      </c>
      <c r="BS33" s="43">
        <f>AB27*AO33</f>
        <v>35840</v>
      </c>
      <c r="BT33" s="43">
        <f>AC27*AO33</f>
        <v>0</v>
      </c>
      <c r="BU33" s="43">
        <f>AD27*AO33</f>
        <v>35840</v>
      </c>
      <c r="BV33" s="43">
        <f>AE27*AO33</f>
        <v>0</v>
      </c>
      <c r="BW33" s="43">
        <f>AF27*AO33</f>
        <v>0</v>
      </c>
      <c r="BX33" s="43">
        <f>AG27*AO33</f>
        <v>123289.60000000001</v>
      </c>
      <c r="BY33" s="43" t="e">
        <f>AH27*AO33</f>
        <v>#REF!</v>
      </c>
      <c r="BZ33" s="43" t="e">
        <f>AI27*AO33</f>
        <v>#REF!</v>
      </c>
      <c r="CA33" s="116">
        <f>AN33*S29</f>
        <v>0</v>
      </c>
      <c r="CB33" s="44">
        <f>AN33*T29</f>
        <v>0</v>
      </c>
      <c r="CC33" s="44">
        <f>AN33*U29</f>
        <v>1715.4626399999997</v>
      </c>
      <c r="CD33" s="44">
        <f>AN33*V29</f>
        <v>0</v>
      </c>
      <c r="CE33" s="44">
        <f>AN33*W29</f>
        <v>857.73131999999987</v>
      </c>
      <c r="CF33" s="44">
        <f>AN33*X29</f>
        <v>857.73131999999987</v>
      </c>
      <c r="CG33" s="44">
        <f>AN33*Y29</f>
        <v>1715.4626399999997</v>
      </c>
      <c r="CH33" s="44">
        <f>AN33*Z29</f>
        <v>0</v>
      </c>
      <c r="CI33" s="44">
        <f>AN33*AA29</f>
        <v>2475.455975717397</v>
      </c>
      <c r="CJ33" s="44">
        <f>AN33*AB29</f>
        <v>0</v>
      </c>
      <c r="CK33" s="44">
        <f>AN33*AC29</f>
        <v>0</v>
      </c>
      <c r="CL33" s="44">
        <f>AN33*AD29</f>
        <v>717.96713635598564</v>
      </c>
      <c r="CM33" s="44">
        <f>AN33*AE29</f>
        <v>0</v>
      </c>
      <c r="CN33" s="44">
        <f>AN33*AF29</f>
        <v>0</v>
      </c>
      <c r="CO33" s="44">
        <f>AN33*AG29</f>
        <v>0</v>
      </c>
      <c r="CP33" s="44">
        <f>AN33*AH29</f>
        <v>0</v>
      </c>
      <c r="CQ33" s="44">
        <f>AN33*AI29</f>
        <v>1.0683750351726268E-2</v>
      </c>
      <c r="DE33" s="4"/>
    </row>
    <row r="34" spans="1:109" ht="16.5" thickBot="1" x14ac:dyDescent="0.3">
      <c r="A34" s="361"/>
      <c r="B34" s="362"/>
      <c r="C34" s="363"/>
      <c r="D34" s="363"/>
      <c r="E34" s="37"/>
      <c r="F34" s="23"/>
      <c r="G34" s="211" t="s">
        <v>31</v>
      </c>
      <c r="H34" s="212"/>
      <c r="I34" s="249">
        <v>0</v>
      </c>
      <c r="J34" s="250">
        <v>100000</v>
      </c>
      <c r="K34" s="4"/>
      <c r="L34" s="4"/>
      <c r="M34" s="4"/>
      <c r="N34" s="1"/>
      <c r="O34" s="1"/>
      <c r="P34" s="1"/>
      <c r="Q34" s="2" t="e">
        <f>IF(C6="ON",#REF!,IF(C6="AB",#REF!,IF(C6="BC",#REF!,IF(C6="MB",#REF!,IF(C6="SK",#REF!,IF(C6="PQ",#REF!,IF(C6="NB",#REF!,IF(C6="NS",#REF!,IF(C6="NL",#REF!,#REF!)))))))))</f>
        <v>#REF!</v>
      </c>
      <c r="R34" s="3" t="s">
        <v>45</v>
      </c>
      <c r="S34" s="97">
        <f t="shared" ref="S34:Z34" si="40">(S24-S25)+S28+S30+S32</f>
        <v>49200</v>
      </c>
      <c r="T34" s="97">
        <f t="shared" si="40"/>
        <v>223990</v>
      </c>
      <c r="U34" s="97">
        <f t="shared" si="40"/>
        <v>54627.631999999998</v>
      </c>
      <c r="V34" s="97">
        <f t="shared" si="40"/>
        <v>232232.24</v>
      </c>
      <c r="W34" s="97">
        <f t="shared" si="40"/>
        <v>56034.936000000002</v>
      </c>
      <c r="X34" s="97">
        <f t="shared" si="40"/>
        <v>230824.93599999999</v>
      </c>
      <c r="Y34" s="97">
        <f t="shared" si="40"/>
        <v>237659.872</v>
      </c>
      <c r="Z34" s="97">
        <f t="shared" si="40"/>
        <v>115999.99999999999</v>
      </c>
      <c r="AA34" s="97">
        <f t="shared" ref="AA34:AH34" si="41">(AA24-AA25)+AA28+AA30+AA32</f>
        <v>54021.469134012201</v>
      </c>
      <c r="AB34" s="97">
        <f t="shared" si="41"/>
        <v>115999.99999999999</v>
      </c>
      <c r="AC34" s="97">
        <f t="shared" si="41"/>
        <v>40000</v>
      </c>
      <c r="AD34" s="97">
        <f t="shared" si="41"/>
        <v>121426.06304129981</v>
      </c>
      <c r="AE34" s="97">
        <f t="shared" si="41"/>
        <v>40000</v>
      </c>
      <c r="AF34" s="97" t="e">
        <f t="shared" si="41"/>
        <v>#VALUE!</v>
      </c>
      <c r="AG34" s="97">
        <f t="shared" si="41"/>
        <v>623030</v>
      </c>
      <c r="AH34" s="97" t="e">
        <f t="shared" si="41"/>
        <v>#REF!</v>
      </c>
      <c r="AI34" s="97" t="e">
        <f t="shared" ref="AI34" si="42">(AI24-AI25)+AI28+AI30+AI32</f>
        <v>#REF!</v>
      </c>
      <c r="AJ34">
        <f>AJ33*0.5</f>
        <v>0.1525</v>
      </c>
      <c r="AK34" s="132">
        <f t="shared" si="29"/>
        <v>202801</v>
      </c>
      <c r="AL34" s="133">
        <v>303900</v>
      </c>
      <c r="AM34" s="134">
        <v>0.47</v>
      </c>
      <c r="AN34" s="121">
        <v>0.30330000000000001</v>
      </c>
      <c r="AO34" s="122">
        <v>0.40479999999999999</v>
      </c>
      <c r="AP34" s="13">
        <f t="shared" si="25"/>
        <v>101099</v>
      </c>
      <c r="AQ34" s="13">
        <f t="shared" si="26"/>
        <v>47516.53</v>
      </c>
      <c r="AR34" s="97">
        <f t="shared" si="30"/>
        <v>116793.55</v>
      </c>
      <c r="AS34" s="114">
        <f>AR33+AM34*(S33-AK34)</f>
        <v>-2915.4499999999971</v>
      </c>
      <c r="AT34" s="114">
        <f>AR33+AM34*(T33-AK34)</f>
        <v>79235.850000000006</v>
      </c>
      <c r="AU34" s="115">
        <f>AR33+AM34*(U33-AK34)</f>
        <v>-4849.1427999999869</v>
      </c>
      <c r="AV34" s="115">
        <f>AR33+AM34*(V33-AK34)</f>
        <v>83109.702799999999</v>
      </c>
      <c r="AW34" s="115">
        <f>AR33+AM34*(W33-AK34)</f>
        <v>-1945.3699999999953</v>
      </c>
      <c r="AX34" s="43">
        <f>AR33+AM34*(X33-AK34)</f>
        <v>80205.930000000008</v>
      </c>
      <c r="AY34" s="115">
        <f>AR33+AM34*(Y33-AK34)</f>
        <v>81176.010000000009</v>
      </c>
      <c r="AZ34" s="115">
        <f>AR33+AM34*(Z33-AK34)</f>
        <v>-26039.449999999997</v>
      </c>
      <c r="BA34" s="115">
        <f>AR33+AM34*(AA33-AK34)</f>
        <v>-7120.8659393008566</v>
      </c>
      <c r="BB34" s="43">
        <f>AR33+AM34*(AB33-AK34)</f>
        <v>-26039.449999999997</v>
      </c>
      <c r="BC34" s="43">
        <f>AR33+AM34*(AC33-AK34)</f>
        <v>-7239.4499999999971</v>
      </c>
      <c r="BD34" s="43">
        <f>AR33+AM34*(AD33-AK34)</f>
        <v>-25366.159196225883</v>
      </c>
      <c r="BE34" s="43">
        <f>AR33+AM34*(AE33-AK34)</f>
        <v>-7239.4499999999971</v>
      </c>
      <c r="BF34" s="43" t="e">
        <f>AR33+AM34*(AF33-AK34)</f>
        <v>#VALUE!</v>
      </c>
      <c r="BG34" s="43">
        <f>AR33+AM34*(AG33-AK34)</f>
        <v>79235.850000000006</v>
      </c>
      <c r="BH34" s="43">
        <f>AR33+AM34*(AH33-AK34)</f>
        <v>-26039.449999999997</v>
      </c>
      <c r="BI34" s="43">
        <f>AR33+AM34*(AI33-AK34)</f>
        <v>-7239.4499999999971</v>
      </c>
      <c r="BJ34" s="115">
        <f>S27*AO34</f>
        <v>0</v>
      </c>
      <c r="BK34" s="115">
        <f>T27*AO34</f>
        <v>0</v>
      </c>
      <c r="BL34" s="115">
        <f>U27*AO34</f>
        <v>0</v>
      </c>
      <c r="BM34" s="115">
        <f>V27*AO34</f>
        <v>0</v>
      </c>
      <c r="BN34" s="115">
        <f>W27*AO34</f>
        <v>0</v>
      </c>
      <c r="BO34" s="115">
        <f>X27*AO34</f>
        <v>0</v>
      </c>
      <c r="BP34" s="43">
        <f>Y27*AO34</f>
        <v>0</v>
      </c>
      <c r="BQ34" s="43">
        <f>Z27*AO34</f>
        <v>40480</v>
      </c>
      <c r="BR34" s="43">
        <f>AA27*AO34</f>
        <v>0</v>
      </c>
      <c r="BS34" s="43">
        <f>AB27*AO34</f>
        <v>40480</v>
      </c>
      <c r="BT34" s="43">
        <f>AC27*AO34</f>
        <v>0</v>
      </c>
      <c r="BU34" s="43">
        <f>AD27*AO34</f>
        <v>40480</v>
      </c>
      <c r="BV34" s="43">
        <f>AE27*AO34</f>
        <v>0</v>
      </c>
      <c r="BW34" s="43">
        <f>AF27*AO34</f>
        <v>0</v>
      </c>
      <c r="BX34" s="43">
        <f>AG27*AO34</f>
        <v>139251.20000000001</v>
      </c>
      <c r="BY34" s="43" t="e">
        <f>AH27*AO34</f>
        <v>#REF!</v>
      </c>
      <c r="BZ34" s="43" t="e">
        <f>AI27*AO34</f>
        <v>#REF!</v>
      </c>
      <c r="CA34" s="116">
        <f>AN34*S29</f>
        <v>0</v>
      </c>
      <c r="CB34" s="44">
        <f>AN34*T29</f>
        <v>0</v>
      </c>
      <c r="CC34" s="44">
        <f>AN34*U29</f>
        <v>2097.1375199999998</v>
      </c>
      <c r="CD34" s="44">
        <f>AN34*V29</f>
        <v>0</v>
      </c>
      <c r="CE34" s="44">
        <f>AN34*W29</f>
        <v>1048.5687599999999</v>
      </c>
      <c r="CF34" s="44">
        <f>AN34*X29</f>
        <v>1048.5687599999999</v>
      </c>
      <c r="CG34" s="44">
        <f>AN34*Y29</f>
        <v>2097.1375199999998</v>
      </c>
      <c r="CH34" s="44">
        <f>AN34*Z29</f>
        <v>0</v>
      </c>
      <c r="CI34" s="44">
        <f>AN34*AA29</f>
        <v>3026.2224805928518</v>
      </c>
      <c r="CJ34" s="44">
        <f>AN34*AB29</f>
        <v>0</v>
      </c>
      <c r="CK34" s="44">
        <f>AN34*AC29</f>
        <v>0</v>
      </c>
      <c r="CL34" s="44">
        <f>AN34*AD29</f>
        <v>877.70831300592693</v>
      </c>
      <c r="CM34" s="44">
        <f>AN34*AE29</f>
        <v>0</v>
      </c>
      <c r="CN34" s="44">
        <f>AN34*AF29</f>
        <v>0</v>
      </c>
      <c r="CO34" s="44">
        <f>AN34*AG29</f>
        <v>0</v>
      </c>
      <c r="CP34" s="44">
        <f>AN34*AH29</f>
        <v>0</v>
      </c>
      <c r="CQ34" s="44">
        <f>AN34*AI29</f>
        <v>1.3060787914867302E-2</v>
      </c>
      <c r="DE34" s="4"/>
    </row>
    <row r="35" spans="1:109" ht="16.5" thickBot="1" x14ac:dyDescent="0.3">
      <c r="A35" s="367"/>
      <c r="B35" s="368" t="s">
        <v>251</v>
      </c>
      <c r="C35" s="369"/>
      <c r="D35" s="370">
        <f>D29/G6</f>
        <v>1.4330939999999997E-2</v>
      </c>
      <c r="E35" s="371">
        <f>E29/G6</f>
        <v>-2.2617499999999986E-3</v>
      </c>
      <c r="F35" s="23"/>
      <c r="G35" s="4"/>
      <c r="H35" s="200"/>
      <c r="I35" s="201"/>
      <c r="J35" s="46"/>
      <c r="K35" s="4"/>
      <c r="L35" s="4"/>
      <c r="M35" s="4"/>
      <c r="N35" s="1"/>
      <c r="O35" s="1"/>
      <c r="P35" s="1"/>
      <c r="Q35" s="2"/>
      <c r="R35" s="3" t="s">
        <v>46</v>
      </c>
      <c r="S35" s="135">
        <f>IF(S34&lt;AL27,AS27,IF(S34&lt;AL28,AS28,IF(S34&lt;AL29,AS29,IF(S34&lt;AL30,AS30,IF(S34&lt;AL31,AS31,IF(S34&lt;AL32,AS32,IF(S34&lt;AL33,AS33,IF(S34&lt;AL34,AS34,AS35))))))))</f>
        <v>12480.315000000001</v>
      </c>
      <c r="T35" s="135">
        <f>IF(T34&lt;AL27,AT27,IF(T34&lt;AL28,AT28,IF(T34&lt;AL29,AT29,IF(T34&lt;AL30,AT30,IF(T34&lt;AL31,AT31,IF(T34&lt;AL32,AT32,IF(T34&lt;AL33,AT33,IF(T34&lt;AL34,AT34,AT35))))))))</f>
        <v>79235.850000000006</v>
      </c>
      <c r="U35" s="135">
        <f>IF(U34&lt;AL27,AU27,IF(U34&lt;AL28,AU28,IF(U34&lt;AL29,AU29,IF(U34&lt;AL30,AU30,IF(U34&lt;AL31,AU31,IF(U34&lt;AL32,AU32,IF(U34&lt;AL33,AU33,IF(U34&lt;AL34,AU34,AU35))))))))</f>
        <v>11225.471800000001</v>
      </c>
      <c r="V35" s="135">
        <f>IF(V34&lt;AL27,AV27,IF(V34&lt;AL28,AV28,IF(V34&lt;AL29,AV29,IF(V34&lt;AL30,AV30,IF(V34&lt;AL31,AV31,IF(V34&lt;AL32,AV32,IF(V34&lt;AL33,AV33,IF(V34&lt;AL34,AV34,AV35))))))))</f>
        <v>83109.702799999999</v>
      </c>
      <c r="W35" s="135">
        <f>IF(W34&lt;AL27,AW27,IF(W34&lt;AL28,AW28,IF(W34&lt;AL29,AW29,IF(W34&lt;AL30,AW30,IF(W34&lt;AL31,AW31,IF(W34&lt;AL32,AW32,IF(W34&lt;AL33,AW33,IF(W34&lt;AL34,AW34,AW35))))))))</f>
        <v>13109.834999999999</v>
      </c>
      <c r="X35" s="135">
        <f>IF(X34&lt;AL27,AX27,IF(X34&lt;AL28,AX28,IF(X34&lt;AL29,AX29,IF(X34&lt;AL30,AX30,IF(X34&lt;AL31,AX31,IF(X34&lt;AL32,AX32,IF(X34&lt;AL33,AX33,IF(X34&lt;AL34,AX34,AX35))))))))</f>
        <v>80205.930000000008</v>
      </c>
      <c r="Y35" s="135">
        <f>IF(Y34&lt;AL27,AY27,IF(Y34&lt;AL28,AY28,IF(Y34&lt;AL29,AY29,IF(Y34&lt;AL30,AY30,IF(Y34&lt;AL31,AY31,IF(Y34&lt;AL32,AY32,IF(Y34&lt;AL33,AY33,IF(Y34&lt;AL34,AY34,AY35))))))))</f>
        <v>81176.010000000009</v>
      </c>
      <c r="Z35" s="135">
        <f>IF(Z34&lt;AL27,AZ27,IF(Z34&lt;AL28,AZ28,IF(Z34&lt;AL29,AZ29,IF(Z34&lt;AL30,AZ30,IF(Z34&lt;AL31,AZ31,IF(Z34&lt;AL32,AZ32,IF(Z34&lt;AL33,AZ33,IF(Z34&lt;AL34,AZ34,AZ35))))))))</f>
        <v>-7576.7499999999964</v>
      </c>
      <c r="AA35" s="135">
        <f>IF(AA34&lt;AL27,BA27,IF(AA34&lt;AL28,BA28,IF(AA34&lt;AL29,BA29,IF(AA34&lt;AL30,BA30,IF(AA34&lt;AL31,BA31,IF(AA34&lt;AL32,BA32,IF(AA34&lt;AL33,BA33,IF(AA34&lt;AL34,BA34,BA35))))))))</f>
        <v>9751.2684861983798</v>
      </c>
      <c r="AB35" s="135">
        <f>IF(AB34&lt;AL27,BB27,IF(AB34&lt;AL28,BB28,IF(AB34&lt;AL29,BB29,IF(AB34&lt;AL30,BB30,IF(AB34&lt;AL31,BB31,IF(AB34&lt;AL32,BB32,IF(AB34&lt;AL33,BB33,IF(AB34&lt;AL34,BB34,BB35))))))))</f>
        <v>-7576.7499999999964</v>
      </c>
      <c r="AC35" s="135">
        <f>IF(AC34&lt;AL27,BC27,IF(AC34&lt;AL28,BC28,IF(AC34&lt;AL29,BC29,IF(AC34&lt;AL30,BC30,IF(AC34&lt;AL31,BC31,IF(AC34&lt;AL32,BC32,IF(AC34&lt;AL33,BC33,IF(AC34&lt;AL34,BC34,BC35))))))))</f>
        <v>10000</v>
      </c>
      <c r="AD35" s="135">
        <f>IF(AD34&lt;AL27,BD27,IF(AD34&lt;AL28,BD28,IF(AD34&lt;AL29,BD29,IF(AD34&lt;AL30,BD30,IF(AD34&lt;AL31,BD31,IF(AD34&lt;AL32,BD32,IF(AD34&lt;AL33,BD33,IF(AD34&lt;AL34,BD34,BD35))))))))</f>
        <v>-7061.0378949815349</v>
      </c>
      <c r="AE35" s="135">
        <f>IF(AE34&lt;AL27,BE27,IF(AE34&lt;AL28,BE28,IF(AE34&lt;AL29,BE29,IF(AE34&lt;AL30,BE30,IF(AE34&lt;AL31,BE31,IF(AE34&lt;AL32,BE32,IF(AE34&lt;AL33,BE33,IF(AE34&lt;AL34,BE34,BE35))))))))</f>
        <v>10000</v>
      </c>
      <c r="AF35" s="135" t="e">
        <f>IF(AF34&lt;AL27,BF27,IF(AF34&lt;AL28,BF28,IF(AF34&lt;AL29,BF29,IF(AF34&lt;AL30,BF30,IF(AF34&lt;AL31,BF31,IF(AF34&lt;AL32,BF32,IF(AF34&lt;AL33,BF33,IF(AF34&lt;AL34,BF34,BF35))))))))</f>
        <v>#VALUE!</v>
      </c>
      <c r="AG35" s="135">
        <f>IF(AG34&lt;AL27,BG27,IF(AG34&lt;AL28,BG28,IF(AG34&lt;AL29,BG29,IF(AG34&lt;AL30,BG30,IF(AG34&lt;AL31,BG31,IF(AG34&lt;AL32,BG32,IF(AG34&lt;AL33,BG33,IF(AG34&lt;AL34,BG34,BG35))))))))</f>
        <v>78436.27</v>
      </c>
      <c r="AH35" s="135" t="e">
        <f>IF(AH34&lt;AL27,BH27,IF(AH34&lt;AL28,BH28,IF(AH34&lt;AL29,BH29,IF(AH34&lt;AL30,BH30,IF(AH34&lt;AL31,BH31,IF(AH34&lt;AL32,BH32,IF(AH34&lt;AL33,BH33,IF(AH34&lt;AL34,BH34,BH35))))))))</f>
        <v>#REF!</v>
      </c>
      <c r="AI35" s="135" t="e">
        <f>IF(AI34&lt;AL27,BI27,IF(AI34&lt;AL28,BI28,IF(AI34&lt;AL29,BI29,IF(AI34&lt;AL30,BI30,IF(AI34&lt;AL31,BI31,IF(AI34&lt;AL32,BI32,IF(AI34&lt;AL33,BI33,IF(AI34&lt;AL34,BI34,BI35))))))))</f>
        <v>#REF!</v>
      </c>
      <c r="AJ35" s="8">
        <f>IF(S34&lt;AL27,AN27,IF(S34&lt;AL28,AN28,IF(S34&lt;AL29,AN29,IF(S34&lt;AL30,AN30,IF(S34&lt;AL31,AN31,IF(S34&lt;AL32,AN32,IF(S34&lt;AL33,AN33,IF(S34&lt;AL34,AN34,AN35))))))))</f>
        <v>7.5600000000000001E-2</v>
      </c>
      <c r="AK35" s="131">
        <f t="shared" si="29"/>
        <v>303901</v>
      </c>
      <c r="AL35" s="136">
        <v>303901</v>
      </c>
      <c r="AM35" s="137">
        <v>0.48</v>
      </c>
      <c r="AN35" s="138">
        <v>0.31709999999999999</v>
      </c>
      <c r="AO35" s="139">
        <v>0.41639999999999999</v>
      </c>
      <c r="AP35" s="13"/>
      <c r="AQ35" s="13"/>
      <c r="AR35" s="97"/>
      <c r="AS35" s="114">
        <f>AR34+AM35*(S33-AK35)</f>
        <v>-5462.929999999993</v>
      </c>
      <c r="AT35" s="114">
        <f>AR34+AM35*(T33-AK35)</f>
        <v>78436.27</v>
      </c>
      <c r="AU35" s="115">
        <f>AR34+AM35*(U33-AK35)</f>
        <v>-7437.7651999999944</v>
      </c>
      <c r="AV35" s="115">
        <f>AR34+AM35*(V33-AK35)</f>
        <v>82392.545199999993</v>
      </c>
      <c r="AW35" s="115">
        <f>AR34+AM35*(W33-AK35)</f>
        <v>-4472.2099999999919</v>
      </c>
      <c r="AX35" s="43">
        <f>AR34+AM35*(X33-AK35)</f>
        <v>79426.990000000005</v>
      </c>
      <c r="AY35" s="115">
        <f>AR34+AM35*(Y33-AK35)</f>
        <v>80417.710000000006</v>
      </c>
      <c r="AZ35" s="115">
        <f>AR34+AM35*(Z33-AK35)</f>
        <v>-29078.929999999978</v>
      </c>
      <c r="BA35" s="115">
        <f>AR34+AM35*(AA33-AK35)</f>
        <v>-9757.8228741795901</v>
      </c>
      <c r="BB35" s="43">
        <f>AR34+AM35*(AB33-AK35)</f>
        <v>-29078.929999999978</v>
      </c>
      <c r="BC35" s="43">
        <f>AR34+AM35*(AC33-AK35)</f>
        <v>-9878.929999999993</v>
      </c>
      <c r="BD35" s="43">
        <f>AR34+AM35*(AD33-AK35)</f>
        <v>-28391.313859975358</v>
      </c>
      <c r="BE35" s="43">
        <f>AR34+AM35*(AE33-AK35)</f>
        <v>-9878.929999999993</v>
      </c>
      <c r="BF35" s="43" t="e">
        <f>AR34+AM35*(AF33-AK35)</f>
        <v>#VALUE!</v>
      </c>
      <c r="BG35" s="43">
        <f>AR34+AM35*(AG33-AK35)</f>
        <v>78436.27</v>
      </c>
      <c r="BH35" s="43">
        <f>AR34+AM35*(AH33-AK35)</f>
        <v>-29078.929999999978</v>
      </c>
      <c r="BI35" s="43">
        <f>AR34+AM35*(AI33-AK35)</f>
        <v>-9878.929999999993</v>
      </c>
      <c r="BJ35" s="115">
        <f>S27*AO35</f>
        <v>0</v>
      </c>
      <c r="BK35" s="115">
        <f>T27*AO35</f>
        <v>0</v>
      </c>
      <c r="BL35" s="115">
        <f>U27*AO35</f>
        <v>0</v>
      </c>
      <c r="BM35" s="115">
        <f>V27*AO35</f>
        <v>0</v>
      </c>
      <c r="BN35" s="115">
        <f>W27*AO35</f>
        <v>0</v>
      </c>
      <c r="BO35" s="115">
        <f>X27*AO35</f>
        <v>0</v>
      </c>
      <c r="BP35" s="43">
        <f>Y27*AO35</f>
        <v>0</v>
      </c>
      <c r="BQ35" s="43">
        <f>Z27*AO35</f>
        <v>41640</v>
      </c>
      <c r="BR35" s="43">
        <f>AA27*AO35</f>
        <v>0</v>
      </c>
      <c r="BS35" s="43">
        <f>AB27*AO35</f>
        <v>41640</v>
      </c>
      <c r="BT35" s="43">
        <f>AC27*AO35</f>
        <v>0</v>
      </c>
      <c r="BU35" s="43">
        <f>AD27*AO35</f>
        <v>41640</v>
      </c>
      <c r="BV35" s="43">
        <f>AE27*AO35</f>
        <v>0</v>
      </c>
      <c r="BW35" s="43">
        <f>AF27*AO35</f>
        <v>0</v>
      </c>
      <c r="BX35" s="43">
        <f>AG27*AO35</f>
        <v>143241.60000000001</v>
      </c>
      <c r="BY35" s="43" t="e">
        <f>AH27*AO35</f>
        <v>#REF!</v>
      </c>
      <c r="BZ35" s="43" t="e">
        <f>AI27*AO35</f>
        <v>#REF!</v>
      </c>
      <c r="CA35" s="116">
        <f>AN35*S29</f>
        <v>0</v>
      </c>
      <c r="CB35" s="44">
        <f>AN35*T29</f>
        <v>0</v>
      </c>
      <c r="CC35" s="44">
        <f>AN35*U29</f>
        <v>2192.5562399999999</v>
      </c>
      <c r="CD35" s="44">
        <f>AN35*V29</f>
        <v>0</v>
      </c>
      <c r="CE35" s="44">
        <f>AN35*W29</f>
        <v>1096.2781199999999</v>
      </c>
      <c r="CF35" s="44">
        <f>AN35*X29</f>
        <v>1096.2781199999999</v>
      </c>
      <c r="CG35" s="44">
        <f>AN35*Y29</f>
        <v>2192.5562399999999</v>
      </c>
      <c r="CH35" s="44">
        <f>AN35*Z29</f>
        <v>0</v>
      </c>
      <c r="CI35" s="44">
        <f>AN35*AA29</f>
        <v>3163.9141068117151</v>
      </c>
      <c r="CJ35" s="44">
        <f>AN35*AB29</f>
        <v>0</v>
      </c>
      <c r="CK35" s="44">
        <f>AN35*AC29</f>
        <v>0</v>
      </c>
      <c r="CL35" s="44">
        <f>AN35*AD29</f>
        <v>917.64360716841225</v>
      </c>
      <c r="CM35" s="44">
        <f>AN35*AE29</f>
        <v>0</v>
      </c>
      <c r="CN35" s="44">
        <f>AN35*AF29</f>
        <v>0</v>
      </c>
      <c r="CO35" s="44">
        <f>AN35*AG29</f>
        <v>0</v>
      </c>
      <c r="CP35" s="44">
        <f>AN35*AH29</f>
        <v>0</v>
      </c>
      <c r="CQ35" s="44">
        <f>AN35*AI29</f>
        <v>1.3655047305652559E-2</v>
      </c>
      <c r="DE35" s="4"/>
    </row>
    <row r="36" spans="1:109" ht="16.5" thickBot="1" x14ac:dyDescent="0.3">
      <c r="A36" s="375"/>
      <c r="B36" s="362" t="s">
        <v>252</v>
      </c>
      <c r="C36" s="363"/>
      <c r="D36" s="376">
        <f>E36</f>
        <v>2.3959999999999999E-2</v>
      </c>
      <c r="E36" s="51">
        <f>(G7*G6)/G6</f>
        <v>2.3959999999999999E-2</v>
      </c>
      <c r="F36" s="23"/>
      <c r="G36" s="213" t="s">
        <v>154</v>
      </c>
      <c r="H36" s="214"/>
      <c r="I36" s="215"/>
      <c r="J36" s="251">
        <v>0.04</v>
      </c>
      <c r="K36" s="4"/>
      <c r="L36" s="4"/>
      <c r="M36" s="4"/>
      <c r="N36" s="1"/>
      <c r="O36" s="1"/>
      <c r="P36" s="1"/>
      <c r="Q36" s="2" t="s">
        <v>69</v>
      </c>
      <c r="R36" s="3" t="s">
        <v>70</v>
      </c>
      <c r="S36" s="8">
        <f>IF(S34&lt;AL27,BJ27,IF(S34&lt;AL28,BJ28,IF(S34&lt;AL29,BJ29,IF(S34&lt;AL30,BJ30,IF(S34&lt;AL31,BJ31,IF(S34&lt;AL32,BJ32,IF(S34&lt;AL33,BJ33,IF(S34&lt;AL34,BJ34,BJ35))))))))</f>
        <v>0</v>
      </c>
      <c r="T36" s="8">
        <f>IF(T34&lt;AL27,BK27,IF(T34&lt;AL28,BK28,IF(T34&lt;AL29,BK29,IF(T34&lt;AL30,BK30,IF(T34&lt;AL31,BK31,IF(T34&lt;AL32,BK32,IF(T34&lt;AL33,BK33,IF(T34&lt;AL34,BK34,BK35))))))))</f>
        <v>0</v>
      </c>
      <c r="U36" s="8">
        <f>IF(U34&lt;AL27,BL27,IF(U34&lt;AL28,BL28,IF(U34&lt;AL29,BL29,IF(U34&lt;AL30,BL30,IF(U34&lt;AL31,BL31,IF(U34&lt;AL32,BL32,IF(U34&lt;AL33,BL33,IF(U34&lt;AL34,BL34,BL35))))))))</f>
        <v>0</v>
      </c>
      <c r="V36" s="8">
        <f>IF(V34&lt;AL27,BM27,IF(V34&lt;AL28,BM28,IF(V34&lt;AL29,BM29,IF(V34&lt;AL30,BM30,IF(V34&lt;AL31,BM31,IF(V34&lt;AL32,BM32,IF(V34&lt;AL33,BM33,IF(V34&lt;AL34,BM34,BM35))))))))</f>
        <v>0</v>
      </c>
      <c r="W36" s="2">
        <f>IF(W34&lt;AL27,BN27,IF(W34&lt;AL28,BN28,IF(W34&lt;AL29,BN29,IF(W34&lt;AL30,BN30,IF(W34&lt;AL31,BN31,IF(W34&lt;AL32,BN32,IF(W34&lt;AL33,BN33,IF(W34&lt;AL34,BN34,BN35))))))))</f>
        <v>0</v>
      </c>
      <c r="X36" s="2">
        <f>IF(X34&lt;AL27,BO27,IF(X34&lt;AL28,BO28,IF(X34&lt;AL29,BO29,IF(X34&lt;AL30,BO30,IF(X34&lt;AL31,BO31,IF(X34&lt;AL32,BO32,IF(X34&lt;AL33,BO33,IF(X34&lt;AL34,BO34,BO35))))))))</f>
        <v>0</v>
      </c>
      <c r="Y36" s="2">
        <f>IF(Y34&lt;AL27,BP27,IF(Y34&lt;AL28,BP28,IF(Y34&lt;AL29,BP29,IF(Y34&lt;AL30,BP30,IF(Y34&lt;AL31,BP31,IF(Y34&lt;AL32,BP32,IF(Y34&lt;AL33,BP33,IF(Y34&lt;AL34,BP34,BP35))))))))</f>
        <v>0</v>
      </c>
      <c r="Z36" s="2">
        <f>IF(Z34&lt;AL27,BQ27,IF(Z34&lt;AL28,BQ28,IF(Z34&lt;AL29,BQ29,IF(Z34&lt;AL30,BQ30,IF(Z34&lt;AL31,BQ31,IF(Z34&lt;AL32,BQ32,IF(Z34&lt;AL33,BQ33,IF(Z34&lt;AL34,BQ34,BQ35))))))))</f>
        <v>27720</v>
      </c>
      <c r="AA36" s="2">
        <f>IF(AA34&lt;AL27,BR27,IF(AA34&lt;AL28,BR28,IF(AA34&lt;AL29,BR29,IF(AA34&lt;AL30,BR30,IF(AA34&lt;AL31,BR31,IF(AA34&lt;AL32,BR32,IF(AA34&lt;AL33,BR33,IF(AA34&lt;AL34,BR34,BR35))))))))</f>
        <v>0</v>
      </c>
      <c r="AB36" s="2">
        <f>IF(AB34&lt;AL27,BS27,IF(AB34&lt;AL28,BS28,IF(AB34&lt;AL29,BS29,IF(AB34&lt;AL30,BS30,IF(AB34&lt;AL31,BS31,IF(AB34&lt;AL32,BS32,IF(AB34&lt;AL33,BS33,IF(AB34&lt;AL34,BS34,BS35))))))))</f>
        <v>27720</v>
      </c>
      <c r="AC36" s="2">
        <f>IF(AC34&lt;AL27,BT27,IF(AC34&lt;AL28,BT28,IF(AC34&lt;AL29,BT29,IF(AC34&lt;AL30,BT30,IF(AC34&lt;AL31,BT31,IF(AC34&lt;AL32,BT32,IF(AC34&lt;AL33,BT33,IF(AC34&lt;AL34,BT34,BT35))))))))</f>
        <v>0</v>
      </c>
      <c r="AD36" s="2">
        <f>IF(AD34&lt;AL27,BU27,IF(AD34&lt;AL28,BU28,IF(AD34&lt;AL29,BU29,IF(AD34&lt;AL30,BU30,IF(AD34&lt;AL31,BU31,IF(AD34&lt;AL32,BU32,IF(AD34&lt;AL33,BU33,IF(AD34&lt;AL34,BU34,BU35))))))))</f>
        <v>27720</v>
      </c>
      <c r="AE36" s="2">
        <f>IF(AE34&lt;AL27,BV27,IF(AE34&lt;AL28,BV28,IF(AE34&lt;AL29,BV29,IF(AE34&lt;AL30,BV30,IF(AE34&lt;AL31,BV31,IF(AE34&lt;AL32,BV32,IF(AE34&lt;AL33,BV33,IF(AE34&lt;AL34,BV34,BV35))))))))</f>
        <v>0</v>
      </c>
      <c r="AF36" s="2" t="e">
        <f>IF(AF34&lt;AL27,BW27,IF(AF34&lt;AL28,BW28,IF(AF34&lt;AL29,BW29,IF(AF34&lt;AL30,BW30,IF(AF34&lt;AL31,BW31,IF(AF34&lt;AL32,BW32,IF(AF34&lt;AL33,BW33,IF(AF34&lt;AL34,BW34,BW35))))))))</f>
        <v>#VALUE!</v>
      </c>
      <c r="AG36" s="2">
        <f>IF(AG34&lt;AL27,BX27,IF(AG34&lt;AL28,BX28,IF(AG34&lt;AL29,BX29,IF(AG34&lt;AL30,BX30,IF(AG34&lt;AL31,BX31,IF(AG34&lt;AL32,BX32,IF(AG34&lt;AL33,BX33,IF(AG34&lt;AL34,BX34,BX35))))))))</f>
        <v>143241.60000000001</v>
      </c>
      <c r="AH36" s="2" t="e">
        <f>IF(AH34&lt;AL27,BY27,IF(AH34&lt;AL28,BY28,IF(AH34&lt;AL29,BY29,IF(AH34&lt;AL30,BY30,IF(AH34&lt;AL31,BY31,IF(AH34&lt;AL32,BY32,IF(AH34&lt;AL33,BY33,IF(AH34&lt;AL34,BY34,BY35))))))))</f>
        <v>#REF!</v>
      </c>
      <c r="AI36" s="2" t="e">
        <f>IF(AI34&lt;AL27,BZ27,IF(AI34&lt;AL28,BZ28,IF(AI34&lt;AL29,BZ29,IF(AI34&lt;AL30,BZ30,IF(AI34&lt;AL31,BZ31,IF(AI34&lt;AL32,BZ32,IF(AI34&lt;AL33,BZ33,IF(AI34&lt;AL34,BZ34,BZ35))))))))</f>
        <v>#REF!</v>
      </c>
      <c r="AJ36" t="s">
        <v>71</v>
      </c>
      <c r="AK36" s="141"/>
      <c r="AL36" s="136">
        <v>303901</v>
      </c>
      <c r="AM36" s="137">
        <v>0.48</v>
      </c>
      <c r="AN36" s="138">
        <v>0.31709999999999999</v>
      </c>
      <c r="AO36" s="139">
        <v>0.41639999999999999</v>
      </c>
      <c r="AP36" s="13"/>
      <c r="AQ36" s="13"/>
      <c r="AR36" s="97"/>
      <c r="AS36" s="114"/>
      <c r="AT36" s="114"/>
      <c r="AU36" s="115">
        <f>AR35+AM36*(U33-AK36)</f>
        <v>21641.164799999999</v>
      </c>
      <c r="AV36" s="115">
        <f>AR35+AM36*(V33-AK36)</f>
        <v>111471.47519999999</v>
      </c>
      <c r="AW36" s="115">
        <f>AR35+AM36*(W33-AK36)</f>
        <v>24606.719999999998</v>
      </c>
      <c r="AX36" s="43">
        <f>AR35+AM36*(X33-AK36)</f>
        <v>108505.92</v>
      </c>
      <c r="AY36" s="115">
        <f>AR35+AM36*(Y33-AK36)</f>
        <v>109496.64</v>
      </c>
      <c r="AZ36" s="115">
        <f>AR35+AM36*(Z33-AK36)</f>
        <v>0</v>
      </c>
      <c r="BA36" s="115">
        <f>AR35+AM36*(AA33-AK36)</f>
        <v>19321.107125820399</v>
      </c>
      <c r="BB36" s="43">
        <f>AR35+AM36*(AB33-AK36)</f>
        <v>0</v>
      </c>
      <c r="BC36" s="43">
        <f>AR35+AM36*(AC33-AK36)</f>
        <v>19200</v>
      </c>
      <c r="BD36" s="43">
        <f>AR35+AM36*(AD33-AK36)</f>
        <v>687.61614002462261</v>
      </c>
      <c r="BE36" s="43">
        <f>AR35+AM36*(AE33-AK36)</f>
        <v>19200</v>
      </c>
      <c r="BF36" s="43" t="e">
        <f>AR35+AM36*(AF33-AK36)</f>
        <v>#VALUE!</v>
      </c>
      <c r="BG36" s="43">
        <f>AR35+AM36*(AG33-AK36)</f>
        <v>107515.2</v>
      </c>
      <c r="BH36" s="43">
        <f>AR35+AM36*(AH33-AK36)</f>
        <v>0</v>
      </c>
      <c r="BI36" s="43">
        <f>AR35+AM36*(AI33-AK36)</f>
        <v>19200</v>
      </c>
      <c r="BJ36" s="115">
        <f>S27*AO36</f>
        <v>0</v>
      </c>
      <c r="BK36" s="115">
        <f>T27*AO36</f>
        <v>0</v>
      </c>
      <c r="BL36" s="115">
        <f>U27*AO36</f>
        <v>0</v>
      </c>
      <c r="BM36" s="115">
        <f>V27*AO36</f>
        <v>0</v>
      </c>
      <c r="BN36" s="115">
        <f>W27*AO36</f>
        <v>0</v>
      </c>
      <c r="BO36" s="115">
        <f>X27*AO36</f>
        <v>0</v>
      </c>
      <c r="BP36" s="43">
        <f>Y27*AO36</f>
        <v>0</v>
      </c>
      <c r="BQ36" s="43">
        <f>Z27*AO36</f>
        <v>41640</v>
      </c>
      <c r="BR36" s="43">
        <f>AA27*AO36</f>
        <v>0</v>
      </c>
      <c r="BS36" s="43">
        <f>AB27*AO36</f>
        <v>41640</v>
      </c>
      <c r="BT36" s="43">
        <f>AC27*AO36</f>
        <v>0</v>
      </c>
      <c r="BU36" s="43">
        <f>AD27*AO36</f>
        <v>41640</v>
      </c>
      <c r="BV36" s="43">
        <f>AE27*AO36</f>
        <v>0</v>
      </c>
      <c r="BW36" s="43">
        <f>AF27*AO36</f>
        <v>0</v>
      </c>
      <c r="BX36" s="43">
        <f>AG27*AO36</f>
        <v>143241.60000000001</v>
      </c>
      <c r="BY36" s="43" t="e">
        <f>AH27*AO36</f>
        <v>#REF!</v>
      </c>
      <c r="BZ36" s="43" t="e">
        <f>AI27*AO36</f>
        <v>#REF!</v>
      </c>
      <c r="CA36" s="116" t="e">
        <f>#REF!*S29</f>
        <v>#REF!</v>
      </c>
      <c r="CB36" s="44">
        <f>AN36*T29</f>
        <v>0</v>
      </c>
      <c r="CC36" s="44">
        <f>AN36*U29</f>
        <v>2192.5562399999999</v>
      </c>
      <c r="CD36" s="44">
        <f>AN36*V29</f>
        <v>0</v>
      </c>
      <c r="CE36" s="44">
        <f>AN36*W29</f>
        <v>1096.2781199999999</v>
      </c>
      <c r="CF36" s="44">
        <f>AN36*X29</f>
        <v>1096.2781199999999</v>
      </c>
      <c r="CG36" s="44">
        <f>AN36*Y29</f>
        <v>2192.5562399999999</v>
      </c>
      <c r="CH36" s="44">
        <f>AN36*Z29</f>
        <v>0</v>
      </c>
      <c r="CI36" s="44">
        <f>AN36*AA29</f>
        <v>3163.9141068117151</v>
      </c>
      <c r="CJ36" s="44">
        <f>AN36*AB29</f>
        <v>0</v>
      </c>
      <c r="CK36" s="44">
        <f>AN36*AC29</f>
        <v>0</v>
      </c>
      <c r="CL36" s="44">
        <f>AN36*AD29</f>
        <v>917.64360716841225</v>
      </c>
      <c r="CM36" s="44">
        <f>AN36*AE29</f>
        <v>0</v>
      </c>
      <c r="CN36" s="44">
        <f>AN36*AF29</f>
        <v>0</v>
      </c>
      <c r="CO36" s="44">
        <f>AN36*AG29</f>
        <v>0</v>
      </c>
      <c r="CP36" s="44">
        <f>AN36*AH29</f>
        <v>0</v>
      </c>
      <c r="CQ36" s="44">
        <f>AN36*AI29</f>
        <v>1.3655047305652559E-2</v>
      </c>
      <c r="DE36" s="4"/>
    </row>
    <row r="37" spans="1:109" ht="15" customHeight="1" thickBot="1" x14ac:dyDescent="0.3">
      <c r="A37" s="380"/>
      <c r="B37" s="381" t="s">
        <v>232</v>
      </c>
      <c r="C37" s="382"/>
      <c r="D37" s="383">
        <f>SUM(D35:D36)</f>
        <v>3.8290939999999996E-2</v>
      </c>
      <c r="E37" s="384">
        <f>SUM(E35:E36)</f>
        <v>2.1698249999999999E-2</v>
      </c>
      <c r="F37" s="23"/>
      <c r="G37" s="4"/>
      <c r="H37" s="4"/>
      <c r="I37" s="4"/>
      <c r="J37" s="4"/>
      <c r="K37" s="4"/>
      <c r="L37" s="4"/>
      <c r="M37" s="4"/>
      <c r="N37" s="1"/>
      <c r="O37" s="1"/>
      <c r="P37" s="1"/>
      <c r="Q37" s="2" t="e">
        <f>IF(C6="ON",#REF!,IF(C6="AB",#REF!,IF(C6="BC",#REF!,IF(C6="MB",#REF!,IF(C6="SK",#REF!,IF(C6="PQ",#REF!,IF(C6="NB",#REF!,IF(C6="NS",#REF!,IF(C6="NL",#REF!,#REF!)))))))))</f>
        <v>#REF!</v>
      </c>
      <c r="R37" s="3" t="s">
        <v>49</v>
      </c>
      <c r="S37" s="66">
        <f t="shared" ref="S37:AF37" si="43">CA38</f>
        <v>0</v>
      </c>
      <c r="T37" s="66">
        <f t="shared" si="43"/>
        <v>0</v>
      </c>
      <c r="U37" s="66">
        <f t="shared" si="43"/>
        <v>522.72863999999993</v>
      </c>
      <c r="V37" s="66">
        <f t="shared" si="43"/>
        <v>0</v>
      </c>
      <c r="W37" s="66">
        <f t="shared" si="43"/>
        <v>261.36431999999996</v>
      </c>
      <c r="X37" s="66">
        <f t="shared" si="43"/>
        <v>1048.5687599999999</v>
      </c>
      <c r="Y37" s="66">
        <f t="shared" si="43"/>
        <v>2097.1375199999998</v>
      </c>
      <c r="Z37" s="130">
        <f t="shared" si="43"/>
        <v>0</v>
      </c>
      <c r="AA37" s="130">
        <f t="shared" si="43"/>
        <v>754.31064798160105</v>
      </c>
      <c r="AB37" s="130">
        <f t="shared" si="43"/>
        <v>0</v>
      </c>
      <c r="AC37" s="130">
        <f t="shared" si="43"/>
        <v>0</v>
      </c>
      <c r="AD37" s="130">
        <f t="shared" si="43"/>
        <v>438.42007721858863</v>
      </c>
      <c r="AE37" s="130">
        <f t="shared" si="43"/>
        <v>0</v>
      </c>
      <c r="AF37" s="130" t="e">
        <f t="shared" si="43"/>
        <v>#VALUE!</v>
      </c>
      <c r="AG37" s="130">
        <f>CO38</f>
        <v>0</v>
      </c>
      <c r="AH37" s="130" t="e">
        <f>CP38</f>
        <v>#REF!</v>
      </c>
      <c r="AI37" s="130" t="e">
        <f>CQ38</f>
        <v>#REF!</v>
      </c>
      <c r="AJ37" t="e">
        <f>IF(#REF!&lt;AL27,AM27,IF(#REF!&lt;AL28,AM28,IF(#REF!&lt;AL29,AM29,IF(#REF!&lt;AL30,AM30,IF(#REF!&lt;AL31,AM31,IF(#REF!&lt;AL32,AM32,IF(#REF!&lt;AL33,AM33,IF(#REF!&lt;AL34,AM34,AM35))))))))</f>
        <v>#REF!</v>
      </c>
      <c r="AK37" s="141"/>
      <c r="AL37" s="136">
        <v>303901</v>
      </c>
      <c r="AM37" s="137">
        <v>0.48</v>
      </c>
      <c r="AN37" s="138">
        <v>0.31709999999999999</v>
      </c>
      <c r="AO37" s="139">
        <v>0.41639999999999999</v>
      </c>
      <c r="AP37" s="13"/>
      <c r="AQ37" s="13"/>
      <c r="AR37" s="97"/>
      <c r="AS37" s="114"/>
      <c r="AT37" s="114"/>
      <c r="AU37" s="115">
        <f>AR36+AM37*(U33-AK37)</f>
        <v>21641.164799999999</v>
      </c>
      <c r="AV37" s="115">
        <f>AR36+AM37*(V33-AK37)</f>
        <v>111471.47519999999</v>
      </c>
      <c r="AW37" s="115">
        <f>AR36+AM37*(W33-AK37)</f>
        <v>24606.719999999998</v>
      </c>
      <c r="AX37" s="43">
        <f>AR36+AM37*(X33-AK37)</f>
        <v>108505.92</v>
      </c>
      <c r="AY37" s="115">
        <f>AR36+AM37*(Y33-AK37)</f>
        <v>109496.64</v>
      </c>
      <c r="AZ37" s="115">
        <f>AR36+AM37*(Z33-AK37)</f>
        <v>0</v>
      </c>
      <c r="BA37" s="115">
        <f>AR36+AM37*(AA33-AK37)</f>
        <v>19321.107125820399</v>
      </c>
      <c r="BB37" s="43">
        <f>AR36+AM37*(AB33-AK37)</f>
        <v>0</v>
      </c>
      <c r="BC37" s="43">
        <f>AR36+AM37*(AC33-AK37)</f>
        <v>19200</v>
      </c>
      <c r="BD37" s="43">
        <f>AR36+AM37*(AD33-AK37)</f>
        <v>687.61614002462261</v>
      </c>
      <c r="BE37" s="43">
        <f>AR36+AM37*(AE33-AK37)</f>
        <v>19200</v>
      </c>
      <c r="BF37" s="43" t="e">
        <f>AR36+AM37*(AF33-AK37)</f>
        <v>#VALUE!</v>
      </c>
      <c r="BG37" s="43">
        <f>AR36+AM37*(AG33-AK37)</f>
        <v>107515.2</v>
      </c>
      <c r="BH37" s="43">
        <f>AR36+AM37*(AH33-AK37)</f>
        <v>0</v>
      </c>
      <c r="BI37" s="43">
        <f>AR36+AM37*(AI33-AK37)</f>
        <v>19200</v>
      </c>
      <c r="BJ37" s="115">
        <f>S27*AO37</f>
        <v>0</v>
      </c>
      <c r="BK37" s="115">
        <f>T27*AO37</f>
        <v>0</v>
      </c>
      <c r="BL37" s="115">
        <f>U27*AO37</f>
        <v>0</v>
      </c>
      <c r="BM37" s="115">
        <f>V27*AO37</f>
        <v>0</v>
      </c>
      <c r="BN37" s="115">
        <f>W27*AO37</f>
        <v>0</v>
      </c>
      <c r="BO37" s="115">
        <f>X27*AO37</f>
        <v>0</v>
      </c>
      <c r="BP37" s="43">
        <f>Y27*AO37</f>
        <v>0</v>
      </c>
      <c r="BQ37" s="43">
        <f>Z27*AO37</f>
        <v>41640</v>
      </c>
      <c r="BR37" s="43">
        <f>AA27*AO37</f>
        <v>0</v>
      </c>
      <c r="BS37" s="43">
        <f>AB27*AO37</f>
        <v>41640</v>
      </c>
      <c r="BT37" s="43">
        <f>AC27*AO37</f>
        <v>0</v>
      </c>
      <c r="BU37" s="43">
        <f>AD27*AO37</f>
        <v>41640</v>
      </c>
      <c r="BV37" s="43">
        <f>AE27*AO37</f>
        <v>0</v>
      </c>
      <c r="BW37" s="43">
        <f>AF27*AO37</f>
        <v>0</v>
      </c>
      <c r="BX37" s="43">
        <f>AG27*AO37</f>
        <v>143241.60000000001</v>
      </c>
      <c r="BY37" s="43" t="e">
        <f>AH27*AO37</f>
        <v>#REF!</v>
      </c>
      <c r="BZ37" s="43" t="e">
        <f>AI27*AO37</f>
        <v>#REF!</v>
      </c>
      <c r="CA37" s="116" t="e">
        <f>#REF!*S29</f>
        <v>#REF!</v>
      </c>
      <c r="CB37" s="44">
        <f>AN37*T29</f>
        <v>0</v>
      </c>
      <c r="CC37" s="44">
        <f>AN37*U29</f>
        <v>2192.5562399999999</v>
      </c>
      <c r="CD37" s="44">
        <f>AN37*V29</f>
        <v>0</v>
      </c>
      <c r="CE37" s="44">
        <f>AN37*W29</f>
        <v>1096.2781199999999</v>
      </c>
      <c r="CF37" s="44">
        <f>AN37*X29</f>
        <v>1096.2781199999999</v>
      </c>
      <c r="CG37" s="44">
        <f>AN37*Y29</f>
        <v>2192.5562399999999</v>
      </c>
      <c r="CH37" s="44">
        <f>AN37*Z29</f>
        <v>0</v>
      </c>
      <c r="CI37" s="44">
        <f>AN37*AA29</f>
        <v>3163.9141068117151</v>
      </c>
      <c r="CJ37" s="44">
        <f>AN37*AB29</f>
        <v>0</v>
      </c>
      <c r="CK37" s="44">
        <f>AN37*AC29</f>
        <v>0</v>
      </c>
      <c r="CL37" s="44">
        <f>AN37*AD29</f>
        <v>917.64360716841225</v>
      </c>
      <c r="CM37" s="44">
        <f>AN37*AE29</f>
        <v>0</v>
      </c>
      <c r="CN37" s="44">
        <f>AN37*AF29</f>
        <v>0</v>
      </c>
      <c r="CO37" s="44">
        <f>AN37*AG29</f>
        <v>0</v>
      </c>
      <c r="CP37" s="44">
        <f>AN37*AH29</f>
        <v>0</v>
      </c>
      <c r="CQ37" s="44">
        <f>AN37*AI29</f>
        <v>1.3655047305652559E-2</v>
      </c>
      <c r="DE37" s="4"/>
    </row>
    <row r="38" spans="1:109" ht="15" customHeight="1" thickBot="1" x14ac:dyDescent="0.3">
      <c r="A38" s="380"/>
      <c r="B38" s="362"/>
      <c r="C38" s="363"/>
      <c r="D38" s="363"/>
      <c r="E38" s="37"/>
      <c r="F38" s="23"/>
      <c r="G38" s="206" t="s">
        <v>157</v>
      </c>
      <c r="H38" s="262"/>
      <c r="I38" s="207" t="s">
        <v>243</v>
      </c>
      <c r="J38" s="314" t="s">
        <v>242</v>
      </c>
      <c r="K38" s="315" t="s">
        <v>241</v>
      </c>
      <c r="L38" s="4"/>
      <c r="M38" s="4"/>
      <c r="N38" s="1"/>
      <c r="O38" s="1"/>
      <c r="P38" s="1"/>
      <c r="Q38" s="2" t="s">
        <v>72</v>
      </c>
      <c r="R38" s="3" t="s">
        <v>73</v>
      </c>
      <c r="S38" s="135"/>
      <c r="T38" s="97">
        <f>S39-T39</f>
        <v>-66755.535000000003</v>
      </c>
      <c r="U38" s="85">
        <f>U39-S39</f>
        <v>-732.11455999999998</v>
      </c>
      <c r="V38" s="85">
        <f>V39-T39</f>
        <v>3873.8527999999933</v>
      </c>
      <c r="W38" s="85">
        <f>W39-S39</f>
        <v>890.88431999999921</v>
      </c>
      <c r="X38" s="85">
        <f>X39-T39</f>
        <v>2018.6487599999964</v>
      </c>
      <c r="Y38" s="85">
        <f>Y39-T39</f>
        <v>4037.2975200000074</v>
      </c>
      <c r="Z38" s="142">
        <f t="shared" ref="Z38:AE38" si="44">Z39-W39</f>
        <v>6772.0506800000039</v>
      </c>
      <c r="AA38" s="142">
        <f t="shared" si="44"/>
        <v>-70748.919625820025</v>
      </c>
      <c r="AB38" s="142">
        <f t="shared" si="44"/>
        <v>-63129.897520000013</v>
      </c>
      <c r="AC38" s="142">
        <f t="shared" si="44"/>
        <v>-10143.250000000004</v>
      </c>
      <c r="AD38" s="142">
        <f t="shared" si="44"/>
        <v>10591.803048057071</v>
      </c>
      <c r="AE38" s="142">
        <f t="shared" si="44"/>
        <v>-10143.250000000004</v>
      </c>
      <c r="AF38" s="85" t="e">
        <f>AF39-S39</f>
        <v>#VALUE!</v>
      </c>
      <c r="AG38" s="85">
        <f>AG39-T39</f>
        <v>142442.01999999999</v>
      </c>
      <c r="AH38" s="85" t="e">
        <f>AH39-U39</f>
        <v>#REF!</v>
      </c>
      <c r="AI38" s="85" t="e">
        <f>AI39-V39</f>
        <v>#REF!</v>
      </c>
      <c r="AJ38" t="s">
        <v>51</v>
      </c>
      <c r="AL38" s="130"/>
      <c r="AP38" s="143"/>
      <c r="AQ38" s="143"/>
      <c r="AR38" s="143"/>
      <c r="AS38" s="143"/>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44">
        <f>IF(S34&lt;AL27,CA27,IF(S34&lt;AL28,CA28,IF(S34&lt;AL29,CA29,IF(S34&lt;AL30,CA30,IF(S34&lt;AL31,CA31,IF(S34&lt;AL32,CA32,IF(S34&lt;AL33,CA33,IF(S34&lt;AL34,CA34,CA35))))))))</f>
        <v>0</v>
      </c>
      <c r="CB38" s="44">
        <f>IF(T34&lt;AL27,CB27,IF(T34&lt;AL28,CB28,IF(T34&lt;AL29,CB29,IF(T34&lt;AL30,CB30,IF(T34&lt;AL31,CB31,IF(T34&lt;AL32,CB32,IF(T34&lt;AL33,CB33,IF(T34&lt;AL34,CB34,CB35))))))))</f>
        <v>0</v>
      </c>
      <c r="CC38" s="44">
        <f>IF(U34&lt;AL27,CC27,IF(U34&lt;AL28,CC28,IF(U34&lt;AL29,CC29,IF(U34&lt;AL30,CC30,IF(U34&lt;AL31,CC31,IF(U34&lt;AL32,CC32,IF(U34&lt;AL33,CC33,IF(U34&lt;AL34,CC34,CC35))))))))</f>
        <v>522.72863999999993</v>
      </c>
      <c r="CD38" s="44">
        <f>IF(V34&lt;AL27,CD27,IF(V34&lt;AL28,CD28,IF(V34&lt;AL29,CD29,IF(V34&lt;AL30,CD30,IF(V34&lt;AL31,CD31,IF(V34&lt;AL32,CD32,IF(V34&lt;AL33,CD33,IF(V34&lt;AL34,CD34,CD35))))))))</f>
        <v>0</v>
      </c>
      <c r="CE38" s="44">
        <f>IF(W34&lt;AL27,CE27,IF(W34&lt;AL28,CE28,IF(W34&lt;AL29,CE29,IF(W34&lt;AL30,CE30,IF(W34&lt;AL31,CE31,IF(W34&lt;AL32,CE32,IF(W34&lt;AL33,CE33,IF(W34&lt;AL34,CE34,CE35))))))))</f>
        <v>261.36431999999996</v>
      </c>
      <c r="CF38" s="44">
        <f>IF(X34&lt;AL27,CF27,IF(X34&lt;AL28,CF28,IF(X34&lt;AL29,CF29,IF(X34&lt;AL30,CF30,IF(X34&lt;AL31,CF31,IF(X34&lt;AL32,CF32,IF(X34&lt;AL33,CF33,IF(X34&lt;AL34,CF34,CF35))))))))</f>
        <v>1048.5687599999999</v>
      </c>
      <c r="CG38" s="44">
        <f>IF(Y34&lt;AL27,CG27,IF(Y34&lt;AL28,CG28,IF(Y34&lt;AL29,CG29,IF(Y34&lt;AL30,CG30,IF(Y34&lt;AL31,CG31,IF(Y34&lt;AL32,CG32,IF(Y34&lt;AL33,CG33,IF(Y34&lt;AL34,CG34,CG35))))))))</f>
        <v>2097.1375199999998</v>
      </c>
      <c r="CH38" s="44">
        <f>IF(Z34&lt;AL27,CH27,IF(Z34&lt;AL28,CH28,IF(Z34&lt;AL29,CH29,IF(Z34&lt;AL30,CH30,IF(Z34&lt;AL31,CH31,IF(Z34&lt;AL32,CH32,IF(Z34&lt;AL33,CH33,IF(Z34&lt;AL34,CH34,CH35))))))))</f>
        <v>0</v>
      </c>
      <c r="CI38" s="44">
        <f>IF(AA34&lt;AL27,CI27,IF(AA34&lt;AL28,CI28,IF(AA34&lt;AL29,CI29,IF(AA34&lt;AL30,CI30,IF(AA34&lt;AL31,CI31,IF(AA34&lt;AL32,CI32,IF(AA34&lt;AL33,CI33,IF(AA34&lt;AL34,CI34,CI35))))))))</f>
        <v>754.31064798160105</v>
      </c>
      <c r="CJ38" s="44">
        <f>IF(AB34&lt;AL27,CJ27,IF(AB34&lt;AL28,CJ28,IF(AB34&lt;AL29,CJ29,IF(AB34&lt;AL30,CJ30,IF(AB34&lt;AL31,CJ31,IF(AB34&lt;AL32,CJ32,IF(AB34&lt;AL33,CJ33,IF(AB34&lt;AL34,CJ34,CJ35))))))))</f>
        <v>0</v>
      </c>
      <c r="CK38" s="44">
        <f>IF(AC34&lt;AL27,CK27,IF(AC34&lt;AL28,CK28,IF(AC34&lt;AL29,CK29,IF(AC34&lt;AL30,CK30,IF(AC34&lt;AL31,CK31,IF(AC34&lt;AL32,CK32,IF(AC34&lt;AL33,CK33,IF(AC34&lt;AL34,CK34,CK35))))))))</f>
        <v>0</v>
      </c>
      <c r="CL38" s="44">
        <f>IF(AD34&lt;AL27,CL27,IF(AD34&lt;AL28,CL28,IF(AD34&lt;AL29,CL29,IF(AD34&lt;AL30,CL30,IF(AD34&lt;AL31,CL31,IF(AD34&lt;AL32,CL32,IF(AD34&lt;AL33,CL33,IF(AD34&lt;AL34,CL34,CL35))))))))</f>
        <v>438.42007721858863</v>
      </c>
      <c r="CM38" s="44">
        <f>IF(AE34&lt;AL27,CM27,IF(AE34&lt;AL28,CM28,IF(AE34&lt;AL29,CM29,IF(AE34&lt;AL30,CM30,IF(AE34&lt;AL31,CM31,IF(AE34&lt;AL32,CM32,IF(AE34&lt;AL33,CM33,IF(AE34&lt;AL34,CM34,CM35))))))))</f>
        <v>0</v>
      </c>
      <c r="CN38" s="44" t="e">
        <f>IF(AF34&lt;AL27,CN27,IF(AF34&lt;AL28,CN28,IF(AF34&lt;AL29,CN29,IF(AF34&lt;AL30,CN30,IF(AF34&lt;AL31,CN31,IF(AF34&lt;AL32,CN32,IF(AF34&lt;AL33,CN33,IF(AF34&lt;AL34,CN34,CN35))))))))</f>
        <v>#VALUE!</v>
      </c>
      <c r="CO38" s="44">
        <f>IF(AG34&lt;AL27,CO27,IF(AG34&lt;AL28,CO28,IF(AG34&lt;AL29,CO29,IF(AG34&lt;AL30,CO30,IF(AG34&lt;AL31,CO31,IF(AG34&lt;AL32,CO32,IF(AG34&lt;AL33,CO33,IF(AG34&lt;AL34,CO34,CO35))))))))</f>
        <v>0</v>
      </c>
      <c r="CP38" s="44" t="e">
        <f>IF(AH34&lt;AL27,CP27,IF(AH34&lt;AL28,CP28,IF(AH34&lt;AL29,CP29,IF(AH34&lt;AL30,CP30,IF(AH34&lt;AL31,CP31,IF(AH34&lt;AL32,CP32,IF(AH34&lt;AL33,CP33,IF(AH34&lt;AL34,CP34,CP35))))))))</f>
        <v>#REF!</v>
      </c>
      <c r="CQ38" s="44" t="e">
        <f>IF(AI34&lt;AL27,CQ27,IF(AI34&lt;AL28,CQ28,IF(AI34&lt;AL29,CQ29,IF(AI34&lt;AL30,CQ30,IF(AI34&lt;AL31,CQ31,IF(AI34&lt;AL32,CQ32,IF(AI34&lt;AL33,CQ33,IF(AI34&lt;AL34,CQ34,CQ35))))))))</f>
        <v>#REF!</v>
      </c>
      <c r="DE38" s="4"/>
    </row>
    <row r="39" spans="1:109" ht="15" customHeight="1" thickBot="1" x14ac:dyDescent="0.3">
      <c r="A39" s="380"/>
      <c r="B39" s="489" t="s">
        <v>257</v>
      </c>
      <c r="C39" s="489"/>
      <c r="D39" s="490">
        <f>G145-D114</f>
        <v>153354.89250547087</v>
      </c>
      <c r="E39" s="491">
        <f>F114-D114</f>
        <v>342722.15976117796</v>
      </c>
      <c r="F39" s="23"/>
      <c r="G39" s="362" t="s">
        <v>195</v>
      </c>
      <c r="H39" s="37"/>
      <c r="I39" s="364">
        <f>IF(G16*I27&lt;I41,G16*I27,I41)</f>
        <v>2893.8618958322681</v>
      </c>
      <c r="J39" s="365">
        <f>IF(G16*J25&lt;J41,G16*J25,J41)</f>
        <v>9977.6540738307012</v>
      </c>
      <c r="K39" s="366">
        <v>0</v>
      </c>
      <c r="L39" s="1"/>
      <c r="M39" s="1"/>
      <c r="N39" s="389"/>
      <c r="O39" s="389"/>
      <c r="P39" s="389"/>
      <c r="Q39" s="2" t="e">
        <f>IF(C6="ON",#REF!,IF(C6="AB",#REF!,IF(C6="BC",#REF!,IF(C6="MB",#REF!,IF(C6="SK",#REF!,IF(C6="PQ",#REF!,IF(C6="NB",#REF!,IF(C6="NS",#REF!,IF(C6="NL",#REF!,#REF!)))))))))</f>
        <v>#REF!</v>
      </c>
      <c r="R39" s="3" t="s">
        <v>53</v>
      </c>
      <c r="S39" s="72">
        <f t="shared" ref="S39:AI39" si="45">IF(S35+S36+S37-CV27-CV28&lt;0,0,S35+S36+S37-CV27-CV28)</f>
        <v>8866.0650000000005</v>
      </c>
      <c r="T39" s="72">
        <f t="shared" si="45"/>
        <v>75621.600000000006</v>
      </c>
      <c r="U39" s="72">
        <f t="shared" si="45"/>
        <v>8133.9504400000005</v>
      </c>
      <c r="V39" s="72">
        <f t="shared" si="45"/>
        <v>79495.452799999999</v>
      </c>
      <c r="W39" s="72">
        <f t="shared" si="45"/>
        <v>9756.9493199999997</v>
      </c>
      <c r="X39" s="72">
        <f t="shared" si="45"/>
        <v>77640.248760000002</v>
      </c>
      <c r="Y39" s="72">
        <f t="shared" si="45"/>
        <v>79658.897520000013</v>
      </c>
      <c r="Z39" s="72">
        <f t="shared" si="45"/>
        <v>16529.000000000004</v>
      </c>
      <c r="AA39" s="72">
        <f t="shared" si="45"/>
        <v>6891.3291341799813</v>
      </c>
      <c r="AB39" s="72">
        <f t="shared" si="45"/>
        <v>16529.000000000004</v>
      </c>
      <c r="AC39" s="72">
        <f t="shared" si="45"/>
        <v>6385.75</v>
      </c>
      <c r="AD39" s="72">
        <f t="shared" si="45"/>
        <v>17483.132182237052</v>
      </c>
      <c r="AE39" s="72">
        <f t="shared" si="45"/>
        <v>6385.75</v>
      </c>
      <c r="AF39" s="72" t="e">
        <f t="shared" si="45"/>
        <v>#VALUE!</v>
      </c>
      <c r="AG39" s="72">
        <f t="shared" si="45"/>
        <v>218063.62</v>
      </c>
      <c r="AH39" s="72" t="e">
        <f t="shared" si="45"/>
        <v>#REF!</v>
      </c>
      <c r="AI39" s="72" t="e">
        <f t="shared" si="45"/>
        <v>#REF!</v>
      </c>
      <c r="AJ39" s="130">
        <f>IF((T39-S39-2250)&lt;26010,(T39-S39-2250),26010)</f>
        <v>26010</v>
      </c>
      <c r="DE39" s="4"/>
    </row>
    <row r="40" spans="1:109" ht="15" customHeight="1" x14ac:dyDescent="0.25">
      <c r="A40" s="380"/>
      <c r="B40" s="523"/>
      <c r="C40" s="523"/>
      <c r="D40" s="524"/>
      <c r="E40" s="525"/>
      <c r="F40" s="390"/>
      <c r="G40" s="362" t="s">
        <v>163</v>
      </c>
      <c r="H40" s="37"/>
      <c r="I40" s="372">
        <f>IF(I41-I39&gt;0,I41-I39,0)</f>
        <v>2865.0672501025942</v>
      </c>
      <c r="J40" s="373">
        <f>IF(J41-J39&gt;0,J41-J39,0)</f>
        <v>504.6130242516665</v>
      </c>
      <c r="K40" s="374">
        <v>0</v>
      </c>
      <c r="L40" s="1"/>
      <c r="M40" s="1"/>
      <c r="N40" s="287"/>
      <c r="O40" s="287"/>
      <c r="P40" s="287"/>
      <c r="Q40" s="2"/>
      <c r="R40" s="7" t="s">
        <v>74</v>
      </c>
      <c r="S40" t="s">
        <v>55</v>
      </c>
      <c r="T40" t="s">
        <v>56</v>
      </c>
      <c r="U40" t="s">
        <v>55</v>
      </c>
      <c r="V40" t="s">
        <v>56</v>
      </c>
      <c r="W40" t="s">
        <v>55</v>
      </c>
      <c r="X40" t="s">
        <v>56</v>
      </c>
      <c r="Y40" t="s">
        <v>56</v>
      </c>
      <c r="Z40" t="s">
        <v>56</v>
      </c>
      <c r="AA40" t="s">
        <v>56</v>
      </c>
      <c r="AB40" t="s">
        <v>56</v>
      </c>
      <c r="AC40" t="s">
        <v>56</v>
      </c>
      <c r="AD40" t="s">
        <v>56</v>
      </c>
      <c r="AE40" t="s">
        <v>56</v>
      </c>
      <c r="AF40" t="s">
        <v>56</v>
      </c>
      <c r="AG40" t="s">
        <v>56</v>
      </c>
      <c r="AH40" t="s">
        <v>56</v>
      </c>
      <c r="AI40" t="s">
        <v>56</v>
      </c>
      <c r="AK40" s="9" t="s">
        <v>75</v>
      </c>
      <c r="AL40" s="10"/>
      <c r="AM40" s="11" t="s">
        <v>6</v>
      </c>
      <c r="AN40" s="9"/>
      <c r="AO40" s="9"/>
      <c r="AQ40" s="12"/>
      <c r="AT40" s="12"/>
      <c r="AU40" s="12"/>
      <c r="AV40" s="12"/>
      <c r="AW40" s="12"/>
      <c r="AX40" s="12"/>
      <c r="AY40" s="12"/>
      <c r="AZ40" s="12"/>
      <c r="BA40" s="12"/>
      <c r="BB40" s="12"/>
      <c r="BC40" s="12"/>
      <c r="BD40" s="12"/>
      <c r="BE40" s="12"/>
      <c r="BF40" s="12"/>
      <c r="BG40" s="12"/>
      <c r="BH40" s="12"/>
      <c r="BI40" s="12"/>
      <c r="BJ40" s="12" t="s">
        <v>9</v>
      </c>
      <c r="BK40" s="12"/>
      <c r="BL40" s="12"/>
      <c r="BM40" s="12"/>
      <c r="BN40" s="12"/>
      <c r="BO40" s="12"/>
      <c r="BP40" s="12"/>
      <c r="BQ40" s="12"/>
      <c r="BR40" s="12"/>
      <c r="BS40" s="12"/>
      <c r="BT40" s="12"/>
      <c r="BU40" s="12"/>
      <c r="BV40" s="12"/>
      <c r="BW40" s="12"/>
      <c r="BX40" s="12"/>
      <c r="BY40" s="12"/>
      <c r="BZ40" s="12"/>
      <c r="CA40" s="12" t="s">
        <v>58</v>
      </c>
      <c r="CB40" s="12"/>
      <c r="CC40" s="12"/>
      <c r="CD40" s="12"/>
      <c r="CE40" s="12"/>
      <c r="CF40" s="12"/>
      <c r="CG40" s="12"/>
      <c r="CH40" s="12"/>
      <c r="CI40" s="12"/>
      <c r="CJ40" s="12"/>
      <c r="CK40" s="12"/>
      <c r="CL40" s="12"/>
      <c r="CM40" s="12"/>
      <c r="CN40" s="12"/>
      <c r="CO40" s="12"/>
      <c r="CP40" s="12"/>
      <c r="CQ40" s="12"/>
      <c r="DE40" s="4"/>
    </row>
    <row r="41" spans="1:109" ht="15" customHeight="1" x14ac:dyDescent="0.25">
      <c r="A41" s="380"/>
      <c r="B41" s="531"/>
      <c r="C41" s="531"/>
      <c r="D41" s="532"/>
      <c r="E41" s="4"/>
      <c r="F41" s="390"/>
      <c r="G41" s="377" t="s">
        <v>164</v>
      </c>
      <c r="H41" s="378"/>
      <c r="I41" s="547">
        <f>J36*I27</f>
        <v>5758.9291459348624</v>
      </c>
      <c r="J41" s="379">
        <f>J36*J27</f>
        <v>10482.267098082368</v>
      </c>
      <c r="K41" s="366">
        <v>0</v>
      </c>
      <c r="L41" s="1"/>
      <c r="M41" s="1"/>
      <c r="N41" s="287"/>
      <c r="O41" s="287"/>
      <c r="P41" s="287"/>
      <c r="Q41" s="2"/>
      <c r="R41" s="7"/>
      <c r="AK41" s="9"/>
      <c r="AL41" s="10"/>
      <c r="AM41" s="98"/>
      <c r="AN41" s="9"/>
      <c r="AO41" s="9"/>
      <c r="AQ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DE41" s="4"/>
    </row>
    <row r="42" spans="1:109" ht="23.25" customHeight="1" x14ac:dyDescent="0.25">
      <c r="A42" s="380"/>
      <c r="B42" s="4"/>
      <c r="C42" s="4"/>
      <c r="D42" s="4"/>
      <c r="E42" s="4"/>
      <c r="F42" s="1"/>
      <c r="G42" s="362" t="s">
        <v>167</v>
      </c>
      <c r="H42" s="37"/>
      <c r="I42" s="372">
        <f>I32+I33+I34+J32+J33+J34+I41</f>
        <v>145758.92914593488</v>
      </c>
      <c r="J42" s="373">
        <f>I32+I33+I34+J32+J33+J34+J41</f>
        <v>150482.26709808238</v>
      </c>
      <c r="K42" s="374">
        <f>I32+I33+I34+J32+J33+J34+K41</f>
        <v>140000</v>
      </c>
      <c r="L42" s="1"/>
      <c r="M42" s="1"/>
      <c r="N42" s="287"/>
      <c r="O42" s="287"/>
      <c r="P42" s="287"/>
      <c r="Q42" s="2"/>
      <c r="R42" s="7"/>
      <c r="AK42" s="9"/>
      <c r="AL42" s="10"/>
      <c r="AM42" s="98"/>
      <c r="AN42" s="9"/>
      <c r="AO42" s="9"/>
      <c r="AQ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DE42" s="4"/>
    </row>
    <row r="43" spans="1:109" ht="15" customHeight="1" x14ac:dyDescent="0.25">
      <c r="A43" s="380"/>
      <c r="B43" s="4"/>
      <c r="C43" s="4"/>
      <c r="D43" s="4"/>
      <c r="E43" s="4"/>
      <c r="F43" s="1"/>
      <c r="G43" s="377" t="s">
        <v>159</v>
      </c>
      <c r="H43" s="378"/>
      <c r="I43" s="385">
        <f>IF(C6="AB",AD39,IF(C6="BC",AD70,IF(C6="MB",AD87,IF(C6="NB",AD138,IF(C6="NF",AD172,IF(C6="NS",AD155,IF(C6="ON",AD18,IF(C6="PE",AD189,IF(C6="PQ",AD121,AD104)))))))))</f>
        <v>17706.025995796997</v>
      </c>
      <c r="J43" s="386">
        <f>IF(C6="AB",Z39,IF(C6="BC",Z70,IF(C6="MB",Z87,IF(C6="NB",Z138,IF(C6="NF",Z172,IF(C6="NS",Z155,IF(C6="ON",Z18,IF(C6="PE",Z189,IF(C6="PQ",Z121,Z104)))))))))</f>
        <v>16349.701000000001</v>
      </c>
      <c r="K43" s="366">
        <f>IF(C6="AB",AB39,IF(C6="BC",AB70,IF(C6="MB",AB87,IF(C6="NB",AB138,IF(C6="NF",AB172,IF(C6="NS",AB155,IF(C6="ON",AB18,IF(C6="PE",AB189,IF(C6="PQ",AB121,AB104)))))))))</f>
        <v>16349.701000000001</v>
      </c>
      <c r="L43" s="1"/>
      <c r="M43" s="1"/>
      <c r="N43" s="287"/>
      <c r="O43" s="287"/>
      <c r="P43" s="287"/>
      <c r="Q43" s="2"/>
      <c r="R43" s="7"/>
      <c r="AK43" s="9"/>
      <c r="AL43" s="10"/>
      <c r="AM43" s="98"/>
      <c r="AN43" s="9"/>
      <c r="AO43" s="9"/>
      <c r="AQ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DE43" s="4"/>
    </row>
    <row r="44" spans="1:109" ht="15" customHeight="1" x14ac:dyDescent="0.25">
      <c r="A44" s="380"/>
      <c r="B44" s="4"/>
      <c r="C44" s="4"/>
      <c r="D44" s="4"/>
      <c r="E44" s="4"/>
      <c r="F44" s="1"/>
      <c r="G44" s="377" t="s">
        <v>160</v>
      </c>
      <c r="H44" s="378"/>
      <c r="I44" s="387">
        <f>IF(C6="AB",AE39,IF(C6="BC",AE70,IF(C6="MB",AE87,IF(C6="NB",AE138,IF(C6="NF",AE172,IF(C6="NS",AE155,IF(C6="ON",AE18,IF(C6="PE",AE189,IF(C6="PQ",AE121,AE104)))))))))</f>
        <v>5761.1145000000006</v>
      </c>
      <c r="J44" s="388">
        <f>IF(C6="AB",AA39,IF(C6="BC",AA70,IF(C6="MB",AA87,IF(C6="NB",AA138,IF(C6="NF",AA172,IF(C6="NS",AA155,IF(C6="ON",AA18,IF(C6="PE",AA189,IF(C6="PQ",AA121,AA104)))))))))</f>
        <v>5988.3224761630918</v>
      </c>
      <c r="K44" s="374">
        <f>IF(C6="AB",AC39,IF(C6="BC",AC70,IF(C6="MB",AC87,IF(C6="NB",AC138,IF(C6="NF",AC172,IF(C6="NS",AC155,IF(C6="ON",AC18,IF(C6="PE",AC189,IF(C6="PQ",AC121,AC104)))))))))</f>
        <v>5761.1145000000006</v>
      </c>
      <c r="L44" s="1"/>
      <c r="M44" s="389"/>
      <c r="N44" s="287"/>
      <c r="O44" s="287"/>
      <c r="P44" s="287"/>
      <c r="Q44" s="2"/>
      <c r="R44" s="7"/>
      <c r="AK44" s="9"/>
      <c r="AL44" s="10"/>
      <c r="AM44" s="98"/>
      <c r="AN44" s="9"/>
      <c r="AO44" s="9"/>
      <c r="AQ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DE44" s="4"/>
    </row>
    <row r="45" spans="1:109" ht="15" customHeight="1" x14ac:dyDescent="0.25">
      <c r="A45" s="380"/>
      <c r="B45" s="4"/>
      <c r="C45" s="4"/>
      <c r="D45" s="4"/>
      <c r="E45" s="4"/>
      <c r="F45" s="1"/>
      <c r="G45" s="526" t="s">
        <v>161</v>
      </c>
      <c r="H45" s="527"/>
      <c r="I45" s="528">
        <f>I42-I43-I44</f>
        <v>122291.78865013788</v>
      </c>
      <c r="J45" s="529">
        <f>J42-J43-J44</f>
        <v>128144.24362191928</v>
      </c>
      <c r="K45" s="530">
        <f>K42-K43-K44</f>
        <v>117889.1845</v>
      </c>
      <c r="L45" s="545" t="s">
        <v>246</v>
      </c>
      <c r="M45" s="546"/>
      <c r="N45" s="287"/>
      <c r="O45" s="287"/>
      <c r="P45" s="287"/>
      <c r="Q45" s="2"/>
      <c r="R45" s="7"/>
      <c r="AK45" s="9"/>
      <c r="AL45" s="10"/>
      <c r="AM45" s="98"/>
      <c r="AN45" s="9"/>
      <c r="AO45" s="9"/>
      <c r="AQ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DE45" s="4"/>
    </row>
    <row r="46" spans="1:109" ht="15" customHeight="1" x14ac:dyDescent="0.25">
      <c r="A46" s="380"/>
      <c r="B46" s="1"/>
      <c r="C46" s="533"/>
      <c r="D46" s="1"/>
      <c r="E46" s="1"/>
      <c r="F46" s="1"/>
      <c r="G46" s="316"/>
      <c r="H46" s="392"/>
      <c r="I46" s="392"/>
      <c r="J46" s="393"/>
      <c r="K46" s="393"/>
      <c r="L46" s="394"/>
      <c r="M46" s="395"/>
      <c r="N46" s="287"/>
      <c r="O46" s="287"/>
      <c r="P46" s="287"/>
      <c r="Q46" s="2"/>
      <c r="R46" s="7"/>
      <c r="AK46" s="9"/>
      <c r="AL46" s="10"/>
      <c r="AM46" s="98"/>
      <c r="AN46" s="9"/>
      <c r="AO46" s="9"/>
      <c r="AQ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DE46" s="4"/>
    </row>
    <row r="47" spans="1:109" ht="15" customHeight="1" x14ac:dyDescent="0.25">
      <c r="A47" s="380"/>
      <c r="B47" s="1"/>
      <c r="C47" s="533"/>
      <c r="D47" s="1"/>
      <c r="E47" s="1"/>
      <c r="F47" s="1"/>
      <c r="G47" s="316"/>
      <c r="H47" s="392"/>
      <c r="I47" s="392"/>
      <c r="J47" s="393"/>
      <c r="K47" s="393"/>
      <c r="L47" s="394"/>
      <c r="M47" s="395"/>
      <c r="N47" s="287"/>
      <c r="O47" s="287"/>
      <c r="P47" s="287"/>
      <c r="Q47" s="2"/>
      <c r="R47" s="7"/>
      <c r="AK47" s="9"/>
      <c r="AL47" s="10"/>
      <c r="AM47" s="98"/>
      <c r="AN47" s="9"/>
      <c r="AO47" s="9"/>
      <c r="AQ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DE47" s="4"/>
    </row>
    <row r="48" spans="1:109" ht="15" customHeight="1" x14ac:dyDescent="0.25">
      <c r="A48" s="380"/>
      <c r="B48" s="1"/>
      <c r="C48" s="533"/>
      <c r="D48" s="1"/>
      <c r="E48" s="1"/>
      <c r="F48" s="1"/>
      <c r="G48" s="316"/>
      <c r="H48" s="392"/>
      <c r="I48" s="392"/>
      <c r="J48" s="393"/>
      <c r="K48" s="393"/>
      <c r="L48" s="394"/>
      <c r="M48" s="395"/>
      <c r="N48" s="287"/>
      <c r="O48" s="287"/>
      <c r="P48" s="287"/>
      <c r="Q48" s="2"/>
      <c r="R48" s="7"/>
      <c r="AK48" s="9"/>
      <c r="AL48" s="10"/>
      <c r="AM48" s="98"/>
      <c r="AN48" s="9"/>
      <c r="AO48" s="9"/>
      <c r="AQ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DE48" s="4"/>
    </row>
    <row r="49" spans="1:116" ht="15" customHeight="1" x14ac:dyDescent="0.25">
      <c r="A49" s="380"/>
      <c r="B49" s="1"/>
      <c r="C49" s="533"/>
      <c r="D49" s="1"/>
      <c r="E49" s="1"/>
      <c r="F49" s="1"/>
      <c r="G49" s="316"/>
      <c r="H49" s="392"/>
      <c r="I49" s="392"/>
      <c r="J49" s="393"/>
      <c r="K49" s="393"/>
      <c r="L49" s="394"/>
      <c r="M49" s="395"/>
      <c r="N49" s="287"/>
      <c r="O49" s="287"/>
      <c r="P49" s="287"/>
      <c r="Q49" s="2"/>
      <c r="R49" s="7"/>
      <c r="AK49" s="9"/>
      <c r="AL49" s="10"/>
      <c r="AM49" s="98"/>
      <c r="AN49" s="9"/>
      <c r="AO49" s="9"/>
      <c r="AQ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DE49" s="4"/>
    </row>
    <row r="50" spans="1:116" ht="15" customHeight="1" x14ac:dyDescent="0.25">
      <c r="A50" s="380"/>
      <c r="B50" s="1"/>
      <c r="C50" s="533"/>
      <c r="D50" s="1"/>
      <c r="E50" s="1"/>
      <c r="F50" s="1"/>
      <c r="G50" s="316"/>
      <c r="H50" s="392"/>
      <c r="I50" s="392"/>
      <c r="J50" s="393"/>
      <c r="K50" s="393"/>
      <c r="L50" s="394"/>
      <c r="M50" s="395"/>
      <c r="N50" s="287"/>
      <c r="O50" s="287"/>
      <c r="P50" s="287"/>
      <c r="Q50" s="2"/>
      <c r="R50" s="7"/>
      <c r="AK50" s="9"/>
      <c r="AL50" s="10"/>
      <c r="AM50" s="98"/>
      <c r="AN50" s="9"/>
      <c r="AO50" s="9"/>
      <c r="AQ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DE50" s="4"/>
    </row>
    <row r="51" spans="1:116" ht="15" customHeight="1" x14ac:dyDescent="0.25">
      <c r="A51" s="380"/>
      <c r="B51" s="1"/>
      <c r="C51" s="533"/>
      <c r="D51" s="1"/>
      <c r="E51" s="1"/>
      <c r="F51" s="1"/>
      <c r="G51" s="316"/>
      <c r="H51" s="392"/>
      <c r="I51" s="392"/>
      <c r="J51" s="393"/>
      <c r="K51" s="393"/>
      <c r="L51" s="394"/>
      <c r="M51" s="395"/>
      <c r="N51" s="287"/>
      <c r="O51" s="287"/>
      <c r="P51" s="287"/>
      <c r="Q51" s="2"/>
      <c r="R51" s="7"/>
      <c r="AK51" s="9"/>
      <c r="AL51" s="10"/>
      <c r="AM51" s="98"/>
      <c r="AN51" s="9"/>
      <c r="AO51" s="9"/>
      <c r="AQ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DE51" s="4"/>
    </row>
    <row r="52" spans="1:116" ht="15" customHeight="1" x14ac:dyDescent="0.25">
      <c r="A52" s="380"/>
      <c r="B52" s="1"/>
      <c r="C52" s="533"/>
      <c r="D52" s="1"/>
      <c r="E52" s="1"/>
      <c r="F52" s="1"/>
      <c r="G52" s="316"/>
      <c r="H52" s="392"/>
      <c r="I52" s="392"/>
      <c r="J52" s="393"/>
      <c r="K52" s="393"/>
      <c r="L52" s="394"/>
      <c r="M52" s="395"/>
      <c r="N52" s="287"/>
      <c r="O52" s="287"/>
      <c r="P52" s="287"/>
      <c r="Q52" s="2"/>
      <c r="R52" s="7"/>
      <c r="AK52" s="9"/>
      <c r="AL52" s="10"/>
      <c r="AM52" s="98"/>
      <c r="AN52" s="9"/>
      <c r="AO52" s="9"/>
      <c r="AQ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DE52" s="4"/>
    </row>
    <row r="53" spans="1:116" ht="15" customHeight="1" x14ac:dyDescent="0.25">
      <c r="A53" s="380"/>
      <c r="B53" s="1"/>
      <c r="C53" s="533"/>
      <c r="D53" s="1"/>
      <c r="E53" s="1"/>
      <c r="F53" s="1"/>
      <c r="G53" s="316"/>
      <c r="H53" s="392"/>
      <c r="I53" s="392"/>
      <c r="J53" s="393"/>
      <c r="K53" s="393"/>
      <c r="L53" s="394"/>
      <c r="M53" s="395"/>
      <c r="N53" s="287"/>
      <c r="O53" s="287"/>
      <c r="P53" s="287"/>
      <c r="Q53" s="2"/>
      <c r="R53" s="7"/>
      <c r="AK53" s="9"/>
      <c r="AL53" s="10"/>
      <c r="AM53" s="98"/>
      <c r="AN53" s="9"/>
      <c r="AO53" s="9"/>
      <c r="AQ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DE53" s="4"/>
    </row>
    <row r="54" spans="1:116" ht="15" customHeight="1" x14ac:dyDescent="0.25">
      <c r="A54" s="380"/>
      <c r="B54" s="1"/>
      <c r="C54" s="533"/>
      <c r="D54" s="1"/>
      <c r="E54" s="1"/>
      <c r="F54" s="1"/>
      <c r="G54" s="316"/>
      <c r="H54" s="392"/>
      <c r="I54" s="392"/>
      <c r="J54" s="393"/>
      <c r="K54" s="393"/>
      <c r="L54" s="394"/>
      <c r="M54" s="395"/>
      <c r="N54" s="287"/>
      <c r="O54" s="287"/>
      <c r="P54" s="287"/>
      <c r="Q54" s="2"/>
      <c r="R54" s="7"/>
      <c r="AK54" s="9"/>
      <c r="AL54" s="10"/>
      <c r="AM54" s="98"/>
      <c r="AN54" s="9"/>
      <c r="AO54" s="9"/>
      <c r="AQ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DE54" s="4"/>
    </row>
    <row r="55" spans="1:116" ht="15" customHeight="1" thickBot="1" x14ac:dyDescent="0.3">
      <c r="A55" s="4"/>
      <c r="B55" s="399"/>
      <c r="C55" s="399"/>
      <c r="D55" s="399"/>
      <c r="E55" s="399"/>
      <c r="F55" s="399"/>
      <c r="G55" s="399"/>
      <c r="H55" s="399"/>
      <c r="I55" s="399"/>
      <c r="J55" s="399"/>
      <c r="K55" s="399"/>
      <c r="L55" s="399"/>
      <c r="M55" s="399"/>
      <c r="N55" s="399"/>
      <c r="O55" s="399"/>
      <c r="P55" s="399"/>
      <c r="Q55" s="2"/>
      <c r="R55" s="3" t="s">
        <v>11</v>
      </c>
      <c r="S55" s="97">
        <f t="shared" ref="S55:Z55" si="46">S24</f>
        <v>60000</v>
      </c>
      <c r="T55" s="97">
        <f t="shared" si="46"/>
        <v>250000</v>
      </c>
      <c r="U55" s="97">
        <f t="shared" si="46"/>
        <v>55885.760000000002</v>
      </c>
      <c r="V55" s="97">
        <f t="shared" si="46"/>
        <v>258242.24</v>
      </c>
      <c r="W55" s="97">
        <f t="shared" si="46"/>
        <v>62064</v>
      </c>
      <c r="X55" s="97">
        <f t="shared" si="46"/>
        <v>252064</v>
      </c>
      <c r="Y55" s="97">
        <f t="shared" si="46"/>
        <v>254128</v>
      </c>
      <c r="Z55" s="97">
        <f t="shared" si="46"/>
        <v>0</v>
      </c>
      <c r="AA55" s="97">
        <f>AA24</f>
        <v>0</v>
      </c>
      <c r="AB55" s="97">
        <f>AB24</f>
        <v>0</v>
      </c>
      <c r="AC55" s="97">
        <f>AC24</f>
        <v>0</v>
      </c>
      <c r="AD55" s="97">
        <f>AD24</f>
        <v>0</v>
      </c>
      <c r="AE55" s="97">
        <f>AE24</f>
        <v>0</v>
      </c>
      <c r="AF55" s="97">
        <f>AF24</f>
        <v>0</v>
      </c>
      <c r="AG55" s="97">
        <f>AG24</f>
        <v>250000</v>
      </c>
      <c r="AH55" s="97">
        <f>AH24</f>
        <v>0</v>
      </c>
      <c r="AI55" s="97">
        <f t="shared" ref="AI55" si="47">AI24</f>
        <v>0</v>
      </c>
      <c r="AJ55" s="196">
        <f>W69+X69</f>
        <v>2944.0534799999887</v>
      </c>
      <c r="AK55" s="9"/>
      <c r="AL55" s="10"/>
      <c r="AM55" s="98"/>
      <c r="AN55" s="9" t="s">
        <v>7</v>
      </c>
      <c r="AO55" s="9"/>
      <c r="AP55" s="99"/>
      <c r="AQ55" s="100" t="s">
        <v>12</v>
      </c>
      <c r="AR55" s="100"/>
      <c r="AS55" s="101" t="s">
        <v>55</v>
      </c>
      <c r="AT55" t="s">
        <v>56</v>
      </c>
      <c r="BJ55" s="16" t="s">
        <v>16</v>
      </c>
      <c r="BK55" s="16"/>
      <c r="BL55" s="16"/>
      <c r="BM55" s="16"/>
      <c r="BN55" s="16"/>
      <c r="BO55" s="16"/>
      <c r="BP55" s="16"/>
      <c r="BQ55" s="16"/>
      <c r="BR55" s="16"/>
      <c r="BS55" s="16"/>
      <c r="BT55" s="16"/>
      <c r="BU55" s="16"/>
      <c r="BV55" s="16"/>
      <c r="BW55" s="16"/>
      <c r="BX55" s="16"/>
      <c r="BY55" s="16"/>
      <c r="BZ55" s="16"/>
      <c r="CA55" t="s">
        <v>16</v>
      </c>
      <c r="CR55" t="s">
        <v>17</v>
      </c>
      <c r="CT55" s="100"/>
      <c r="CU55" s="100"/>
      <c r="CV55" s="100"/>
      <c r="CW55" s="100"/>
      <c r="DE55" s="4"/>
    </row>
    <row r="56" spans="1:116" ht="15" customHeight="1" x14ac:dyDescent="0.25">
      <c r="A56" s="288"/>
      <c r="B56" s="429" t="s">
        <v>258</v>
      </c>
      <c r="C56" s="430"/>
      <c r="D56" s="430"/>
      <c r="E56" s="430"/>
      <c r="F56" s="430"/>
      <c r="G56" s="430"/>
      <c r="H56" s="430"/>
      <c r="I56" s="430"/>
      <c r="J56" s="431"/>
      <c r="K56" s="289"/>
      <c r="L56" s="548" t="s">
        <v>298</v>
      </c>
      <c r="M56" s="549"/>
      <c r="N56" s="550"/>
      <c r="O56" s="146"/>
      <c r="P56" s="146"/>
      <c r="Q56" s="2"/>
      <c r="R56" s="3" t="s">
        <v>18</v>
      </c>
      <c r="S56" s="97">
        <f t="shared" ref="S56:Z56" si="48">S25</f>
        <v>10800</v>
      </c>
      <c r="T56" s="97">
        <f t="shared" si="48"/>
        <v>26010</v>
      </c>
      <c r="U56" s="97">
        <f t="shared" si="48"/>
        <v>10800</v>
      </c>
      <c r="V56" s="97">
        <f t="shared" si="48"/>
        <v>26010</v>
      </c>
      <c r="W56" s="97">
        <f t="shared" si="48"/>
        <v>10800</v>
      </c>
      <c r="X56" s="97">
        <f t="shared" si="48"/>
        <v>26010</v>
      </c>
      <c r="Y56" s="97">
        <f t="shared" si="48"/>
        <v>26010</v>
      </c>
      <c r="Z56" s="97">
        <f t="shared" si="48"/>
        <v>0</v>
      </c>
      <c r="AA56" s="97">
        <f>AA25</f>
        <v>-40000</v>
      </c>
      <c r="AB56" s="97">
        <f>AB25</f>
        <v>0</v>
      </c>
      <c r="AC56" s="97">
        <f>AC25</f>
        <v>-40000</v>
      </c>
      <c r="AD56" s="97">
        <f>AD25</f>
        <v>0</v>
      </c>
      <c r="AE56" s="97">
        <f>AE25</f>
        <v>-40000</v>
      </c>
      <c r="AF56" s="97">
        <f>AF25</f>
        <v>-40000</v>
      </c>
      <c r="AG56" s="97">
        <f>AG25</f>
        <v>26010</v>
      </c>
      <c r="AH56" s="97">
        <f>AH25</f>
        <v>0</v>
      </c>
      <c r="AI56" s="97">
        <f t="shared" ref="AI56" si="49">AI25</f>
        <v>-40000</v>
      </c>
      <c r="AK56" s="102"/>
      <c r="AL56" s="103"/>
      <c r="AM56" s="104"/>
      <c r="AN56" s="9"/>
      <c r="AO56" s="9" t="s">
        <v>76</v>
      </c>
      <c r="AP56" s="100" t="s">
        <v>19</v>
      </c>
      <c r="AQ56" s="100" t="s">
        <v>20</v>
      </c>
      <c r="AR56" s="105" t="s">
        <v>21</v>
      </c>
      <c r="AS56" s="106" t="s">
        <v>22</v>
      </c>
      <c r="BJ56" s="16" t="s">
        <v>23</v>
      </c>
      <c r="BK56" s="16"/>
      <c r="BL56" s="16"/>
      <c r="BM56" s="16"/>
      <c r="BN56" s="16"/>
      <c r="BO56" s="16"/>
      <c r="BP56" s="16"/>
      <c r="BQ56" s="16"/>
      <c r="BR56" s="16"/>
      <c r="BS56" s="16"/>
      <c r="BT56" s="16"/>
      <c r="BU56" s="16"/>
      <c r="BV56" s="16"/>
      <c r="BW56" s="16"/>
      <c r="BX56" s="16"/>
      <c r="BY56" s="16"/>
      <c r="BZ56" s="16"/>
      <c r="CA56" t="s">
        <v>22</v>
      </c>
      <c r="DE56" s="4"/>
    </row>
    <row r="57" spans="1:116" ht="15" customHeight="1" thickBot="1" x14ac:dyDescent="0.3">
      <c r="A57" s="46"/>
      <c r="B57" s="432"/>
      <c r="C57" s="433"/>
      <c r="D57" s="433"/>
      <c r="E57" s="433"/>
      <c r="F57" s="433"/>
      <c r="G57" s="433"/>
      <c r="H57" s="433"/>
      <c r="I57" s="433"/>
      <c r="J57" s="434"/>
      <c r="K57" s="46"/>
      <c r="L57" s="554"/>
      <c r="M57" s="555"/>
      <c r="N57" s="556"/>
      <c r="O57" s="146"/>
      <c r="P57" s="146"/>
      <c r="Q57" s="2"/>
      <c r="R57" s="3"/>
      <c r="S57" s="97">
        <f t="shared" ref="S57:Z57" si="50">S26</f>
        <v>0</v>
      </c>
      <c r="T57" s="97">
        <f t="shared" si="50"/>
        <v>0</v>
      </c>
      <c r="U57" s="97">
        <f t="shared" si="50"/>
        <v>0</v>
      </c>
      <c r="V57" s="97">
        <f t="shared" si="50"/>
        <v>0</v>
      </c>
      <c r="W57" s="97">
        <f t="shared" si="50"/>
        <v>0</v>
      </c>
      <c r="X57" s="97">
        <f t="shared" si="50"/>
        <v>0</v>
      </c>
      <c r="Y57" s="97">
        <f t="shared" si="50"/>
        <v>0</v>
      </c>
      <c r="Z57" s="97">
        <f t="shared" si="50"/>
        <v>0</v>
      </c>
      <c r="AA57" s="97">
        <f>AA26</f>
        <v>0</v>
      </c>
      <c r="AB57" s="97">
        <f>AB26</f>
        <v>0</v>
      </c>
      <c r="AC57" s="97">
        <f>AC26</f>
        <v>0</v>
      </c>
      <c r="AD57" s="97">
        <f>AD26</f>
        <v>0</v>
      </c>
      <c r="AE57" s="97">
        <f>AE26</f>
        <v>0</v>
      </c>
      <c r="AF57" s="97">
        <f>AF26</f>
        <v>0</v>
      </c>
      <c r="AG57" s="97">
        <f>AG26</f>
        <v>0</v>
      </c>
      <c r="AH57" s="97">
        <f>AH26</f>
        <v>0</v>
      </c>
      <c r="AI57" s="97">
        <f t="shared" ref="AI57" si="51">AI26</f>
        <v>0</v>
      </c>
      <c r="AK57" s="102"/>
      <c r="AL57" s="103"/>
      <c r="AM57" s="108"/>
      <c r="AN57" s="9"/>
      <c r="AO57" s="9"/>
      <c r="AP57" s="100"/>
      <c r="AQ57" s="100"/>
      <c r="AR57" s="105"/>
      <c r="AS57" s="106"/>
      <c r="BJ57" s="16"/>
      <c r="BK57" s="16"/>
      <c r="BL57" s="16"/>
      <c r="BM57" s="16"/>
      <c r="BN57" s="16"/>
      <c r="BO57" s="16"/>
      <c r="BP57" s="16"/>
      <c r="BQ57" s="16"/>
      <c r="BR57" s="16"/>
      <c r="BS57" s="16"/>
      <c r="BT57" s="16"/>
      <c r="BU57" s="16"/>
      <c r="BV57" s="16"/>
      <c r="BW57" s="16"/>
      <c r="BX57" s="16"/>
      <c r="BY57" s="16"/>
      <c r="BZ57" s="16"/>
      <c r="CS57" t="s">
        <v>25</v>
      </c>
      <c r="CT57" t="s">
        <v>26</v>
      </c>
      <c r="CU57" t="s">
        <v>27</v>
      </c>
      <c r="CV57" s="16" t="s">
        <v>28</v>
      </c>
      <c r="CW57" s="16" t="s">
        <v>61</v>
      </c>
      <c r="CX57" s="16" t="s">
        <v>62</v>
      </c>
      <c r="CY57" s="16" t="s">
        <v>63</v>
      </c>
      <c r="CZ57" s="16" t="s">
        <v>64</v>
      </c>
      <c r="DA57" s="16" t="s">
        <v>65</v>
      </c>
      <c r="DB57" s="16" t="s">
        <v>3</v>
      </c>
      <c r="DC57" s="16" t="s">
        <v>4</v>
      </c>
      <c r="DD57" s="16" t="s">
        <v>13</v>
      </c>
      <c r="DE57" s="4" t="s">
        <v>170</v>
      </c>
      <c r="DF57" s="4" t="s">
        <v>171</v>
      </c>
      <c r="DG57" s="4" t="s">
        <v>172</v>
      </c>
      <c r="DH57" s="4" t="s">
        <v>174</v>
      </c>
      <c r="DI57" s="4" t="s">
        <v>176</v>
      </c>
      <c r="DJ57" s="4" t="s">
        <v>192</v>
      </c>
      <c r="DK57" s="4" t="s">
        <v>196</v>
      </c>
      <c r="DL57" s="4" t="s">
        <v>198</v>
      </c>
    </row>
    <row r="58" spans="1:116" ht="30" customHeight="1" x14ac:dyDescent="0.25">
      <c r="A58" s="46"/>
      <c r="B58" s="404"/>
      <c r="C58" s="409" t="s">
        <v>284</v>
      </c>
      <c r="D58" s="413" t="s">
        <v>285</v>
      </c>
      <c r="E58" s="413" t="s">
        <v>286</v>
      </c>
      <c r="F58" s="417" t="s">
        <v>291</v>
      </c>
      <c r="G58" s="421" t="s">
        <v>40</v>
      </c>
      <c r="H58" s="425" t="s">
        <v>288</v>
      </c>
      <c r="I58" s="421" t="s">
        <v>289</v>
      </c>
      <c r="J58" s="400" t="s">
        <v>290</v>
      </c>
      <c r="K58" s="46"/>
      <c r="L58" s="404" t="s">
        <v>299</v>
      </c>
      <c r="M58" s="559" t="s">
        <v>141</v>
      </c>
      <c r="N58" s="551" t="s">
        <v>158</v>
      </c>
      <c r="O58" s="146"/>
      <c r="P58" s="146"/>
      <c r="Q58" s="2"/>
      <c r="R58" s="3" t="s">
        <v>31</v>
      </c>
      <c r="S58" s="97">
        <f t="shared" ref="S58:Z58" si="52">S27</f>
        <v>0</v>
      </c>
      <c r="T58" s="97">
        <f t="shared" si="52"/>
        <v>0</v>
      </c>
      <c r="U58" s="97">
        <f t="shared" si="52"/>
        <v>0</v>
      </c>
      <c r="V58" s="97">
        <f t="shared" si="52"/>
        <v>0</v>
      </c>
      <c r="W58" s="97">
        <f t="shared" si="52"/>
        <v>0</v>
      </c>
      <c r="X58" s="97">
        <f t="shared" si="52"/>
        <v>0</v>
      </c>
      <c r="Y58" s="97">
        <f t="shared" si="52"/>
        <v>0</v>
      </c>
      <c r="Z58" s="97">
        <f t="shared" si="52"/>
        <v>100000</v>
      </c>
      <c r="AA58" s="97">
        <f>AA27</f>
        <v>0</v>
      </c>
      <c r="AB58" s="97">
        <f>AB27</f>
        <v>100000</v>
      </c>
      <c r="AC58" s="97">
        <f>AC27</f>
        <v>0</v>
      </c>
      <c r="AD58" s="97">
        <f>AD27</f>
        <v>100000</v>
      </c>
      <c r="AE58" s="97">
        <f>AE27</f>
        <v>0</v>
      </c>
      <c r="AF58" s="97">
        <f>AF27</f>
        <v>0</v>
      </c>
      <c r="AG58" s="97">
        <f>AG27</f>
        <v>344000</v>
      </c>
      <c r="AH58" s="97" t="e">
        <f>AH27</f>
        <v>#REF!</v>
      </c>
      <c r="AI58" s="97" t="e">
        <f t="shared" ref="AI58" si="53">AI27</f>
        <v>#REF!</v>
      </c>
      <c r="AK58" s="110">
        <v>0</v>
      </c>
      <c r="AL58" s="110">
        <v>39676</v>
      </c>
      <c r="AM58" s="111">
        <v>0.2006</v>
      </c>
      <c r="AN58" s="112">
        <v>-6.8400000000000002E-2</v>
      </c>
      <c r="AO58" s="113">
        <v>9.2299999999999993E-2</v>
      </c>
      <c r="AP58" s="13">
        <f t="shared" ref="AP58:AP63" si="54">AL58-AK58</f>
        <v>39676</v>
      </c>
      <c r="AQ58" s="13">
        <f t="shared" ref="AQ58:AQ63" si="55">AP58*AM58</f>
        <v>7959.0056000000004</v>
      </c>
      <c r="AR58" s="97">
        <f>AQ58</f>
        <v>7959.0056000000004</v>
      </c>
      <c r="AS58" s="114">
        <f>S64*AM58</f>
        <v>9869.52</v>
      </c>
      <c r="AT58" s="114">
        <f>T64*AM58</f>
        <v>44932.394</v>
      </c>
      <c r="AU58" s="115">
        <f>U64*AM58</f>
        <v>9044.2034560000011</v>
      </c>
      <c r="AV58" s="115">
        <f>V64*AM58</f>
        <v>46585.787343999997</v>
      </c>
      <c r="AW58" s="115">
        <f>W64*AM58</f>
        <v>10283.5584</v>
      </c>
      <c r="AX58" s="43">
        <f>X64*AM58</f>
        <v>45346.432399999998</v>
      </c>
      <c r="AY58" s="115">
        <f>Y64*AM58</f>
        <v>45760.470800000003</v>
      </c>
      <c r="AZ58" s="115">
        <f>Z64*AM58</f>
        <v>0</v>
      </c>
      <c r="BA58" s="115">
        <f>AA64*AM58</f>
        <v>8074.6126863324425</v>
      </c>
      <c r="BB58" s="43">
        <f>AB64*AM58</f>
        <v>0</v>
      </c>
      <c r="BC58" s="43">
        <f>AC64*AM58</f>
        <v>8024</v>
      </c>
      <c r="BD58" s="43">
        <f>AD64*AM58</f>
        <v>287.36624518529021</v>
      </c>
      <c r="BE58" s="43">
        <f>AE64*AM58</f>
        <v>8024</v>
      </c>
      <c r="BF58" s="43" t="e">
        <f>AF64*AM58</f>
        <v>#VALUE!</v>
      </c>
      <c r="BG58" s="43">
        <f>AG64*AM58</f>
        <v>44932.394</v>
      </c>
      <c r="BH58" s="43">
        <f>AH64*AM58</f>
        <v>0</v>
      </c>
      <c r="BI58" s="43">
        <f>AI64*AM58</f>
        <v>8024</v>
      </c>
      <c r="BJ58" s="115">
        <f>S58*AO58</f>
        <v>0</v>
      </c>
      <c r="BK58" s="115">
        <f>T58*AO58</f>
        <v>0</v>
      </c>
      <c r="BL58" s="115">
        <f>U58*AO58</f>
        <v>0</v>
      </c>
      <c r="BM58" s="115">
        <f>V58*AO58</f>
        <v>0</v>
      </c>
      <c r="BN58" s="115">
        <f>W58*AO58</f>
        <v>0</v>
      </c>
      <c r="BO58" s="115">
        <f>X58*AO58</f>
        <v>0</v>
      </c>
      <c r="BP58" s="43">
        <f>Y58*AO58</f>
        <v>0</v>
      </c>
      <c r="BQ58" s="43">
        <f>Z58*AO58</f>
        <v>9230</v>
      </c>
      <c r="BR58" s="43">
        <f>AA58*AO58</f>
        <v>0</v>
      </c>
      <c r="BS58" s="43">
        <f>AB58*AO58</f>
        <v>9230</v>
      </c>
      <c r="BT58" s="43">
        <f>AC58*AO58</f>
        <v>0</v>
      </c>
      <c r="BU58" s="43">
        <f>AD58*AO58</f>
        <v>9230</v>
      </c>
      <c r="BV58" s="43">
        <f>AE58*AO58</f>
        <v>0</v>
      </c>
      <c r="BW58" s="43">
        <f>AF58*AO58</f>
        <v>0</v>
      </c>
      <c r="BX58" s="43">
        <f>AG58*AO58</f>
        <v>31751.199999999997</v>
      </c>
      <c r="BY58" s="43" t="e">
        <f>AH58*AO58</f>
        <v>#REF!</v>
      </c>
      <c r="BZ58" s="43" t="e">
        <f>AI58*AO58</f>
        <v>#REF!</v>
      </c>
      <c r="CA58" s="44">
        <f>AN58*S60</f>
        <v>0</v>
      </c>
      <c r="CB58" s="44">
        <f>AN58*T60</f>
        <v>0</v>
      </c>
      <c r="CC58" s="44">
        <f>AN58*U60</f>
        <v>-472.94495999999998</v>
      </c>
      <c r="CD58" s="44">
        <f>AN58*V60</f>
        <v>0</v>
      </c>
      <c r="CE58" s="44">
        <f>AN58*W60</f>
        <v>-236.47247999999999</v>
      </c>
      <c r="CF58" s="44">
        <f>AN58*X60</f>
        <v>-236.47247999999999</v>
      </c>
      <c r="CG58" s="44">
        <f>AN58*Y60</f>
        <v>-472.94495999999998</v>
      </c>
      <c r="CH58" s="44">
        <f>AN58*Z60</f>
        <v>0</v>
      </c>
      <c r="CI58" s="44">
        <f>AN58*AA60</f>
        <v>-682.47153865001997</v>
      </c>
      <c r="CJ58" s="44">
        <f>AN58*AB60</f>
        <v>0</v>
      </c>
      <c r="CK58" s="44">
        <f>AN58*AC60</f>
        <v>0</v>
      </c>
      <c r="CL58" s="44">
        <f>AN58*AD60</f>
        <v>-197.94015367492716</v>
      </c>
      <c r="CM58" s="44">
        <f>AN58*AE60</f>
        <v>0</v>
      </c>
      <c r="CN58" s="44">
        <f>AN58*AF60</f>
        <v>0</v>
      </c>
      <c r="CO58" s="44">
        <f>AN58*AG60</f>
        <v>0</v>
      </c>
      <c r="CP58" s="44">
        <f>AN58*AH60</f>
        <v>0</v>
      </c>
      <c r="CQ58" s="44">
        <f>AN58*AI60</f>
        <v>-2.9454595891095399E-3</v>
      </c>
      <c r="CR58" t="s">
        <v>32</v>
      </c>
      <c r="CS58">
        <v>11635</v>
      </c>
      <c r="CT58" s="117">
        <v>0.15</v>
      </c>
      <c r="CU58">
        <f>CT58*CS58</f>
        <v>1745.25</v>
      </c>
      <c r="CV58" s="16">
        <f>IF(S65&gt;CS58,CU58,CU58-(CS58-S65)*CT58)</f>
        <v>1745.25</v>
      </c>
      <c r="CW58" s="16">
        <f>IF(T65&gt;CS58,CU58,CU58-(CS58-T65)*CT58)</f>
        <v>1745.25</v>
      </c>
      <c r="CX58" s="16">
        <f>IF(U65&gt;CS58,CU58,CU58-(CS58-U65)*CT58)</f>
        <v>1745.25</v>
      </c>
      <c r="CY58" s="16">
        <f>IF(V65&gt;CS58,CU58,CU58-(CS58-V65)*CT58)</f>
        <v>1745.25</v>
      </c>
      <c r="CZ58" s="16">
        <f>IF(W65&gt;CS58,CU58,CU58-(CS58-W65)*CT58)</f>
        <v>1745.25</v>
      </c>
      <c r="DA58" s="16">
        <f>IF(X65&gt;CS58,CU58,CU58-(CS58-X65)*CT58)</f>
        <v>1745.25</v>
      </c>
      <c r="DB58" s="16">
        <f>IF(Y65&gt;CS58,CU58,CU58-(CS58-Y65)*CT58)</f>
        <v>1745.25</v>
      </c>
      <c r="DC58" s="16">
        <f>IF(Z65&gt;CS58,CU58,CU58-(CS58-Z65)*CT58)</f>
        <v>1745.25</v>
      </c>
      <c r="DD58" s="16">
        <f>IF(AA65&gt;CS58,CU58,CU58-(CS58-AA65)*CT58)</f>
        <v>1745.25</v>
      </c>
      <c r="DE58" s="219">
        <f>IF(AB65&gt;CS58,CU58,CU58-(CS58-AB65)*CT58)</f>
        <v>1745.25</v>
      </c>
      <c r="DF58" s="219">
        <f>IF(AC65&gt;CS58,CU58,CU58-(CS58-AC65)*CT58)</f>
        <v>1745.25</v>
      </c>
      <c r="DG58" s="219">
        <f>IF(AD65&gt;CS58,CU58,CU58-(CS58-AD65)*CT58)</f>
        <v>1745.25</v>
      </c>
      <c r="DH58" s="219">
        <f>IF(AE65&gt;CS58,CU58,CU58-(CS58-AE65)*CT58)</f>
        <v>1745.25</v>
      </c>
      <c r="DI58" s="219" t="e">
        <f>IF(AF65&gt;CS58,CU58,CU58-(CS58-AF65)*CT58)</f>
        <v>#VALUE!</v>
      </c>
      <c r="DJ58" s="219">
        <f>IF(AG65&gt;CS58,CU58,CU58-(CS58-AG65)*CT58)</f>
        <v>1745.25</v>
      </c>
      <c r="DK58" s="219" t="e">
        <f>IF(AH65&gt;CS58,CU58,CU58-(CS58-AH65)*CT58)</f>
        <v>#REF!</v>
      </c>
      <c r="DL58" s="219" t="e">
        <f>IF(AI65&gt;CS58,CU58,CU58-(CS58-AI65)*CT58)</f>
        <v>#REF!</v>
      </c>
    </row>
    <row r="59" spans="1:116" ht="15" customHeight="1" x14ac:dyDescent="0.25">
      <c r="A59" s="46"/>
      <c r="B59" s="405" t="s">
        <v>277</v>
      </c>
      <c r="C59" s="410">
        <f>F89</f>
        <v>344000</v>
      </c>
      <c r="D59" s="414">
        <f>D89</f>
        <v>344000</v>
      </c>
      <c r="E59" s="414">
        <f>G89</f>
        <v>6914.4</v>
      </c>
      <c r="F59" s="418">
        <f>H89</f>
        <v>4128</v>
      </c>
      <c r="G59" s="422">
        <f>I89</f>
        <v>17200</v>
      </c>
      <c r="H59" s="426">
        <f>P89</f>
        <v>4.8423900000000002E-3</v>
      </c>
      <c r="I59" s="426">
        <f>K89</f>
        <v>2.3959999999999999E-2</v>
      </c>
      <c r="J59" s="401">
        <f>H59+I59</f>
        <v>2.8802389999999997E-2</v>
      </c>
      <c r="K59" s="46"/>
      <c r="L59" s="405">
        <v>1</v>
      </c>
      <c r="M59" s="560">
        <f>G120-D89</f>
        <v>0</v>
      </c>
      <c r="N59" s="89">
        <f>F89-D89</f>
        <v>0</v>
      </c>
      <c r="O59" s="46"/>
      <c r="P59" s="46"/>
      <c r="Q59" s="2"/>
      <c r="R59" s="3" t="s">
        <v>35</v>
      </c>
      <c r="S59" s="97">
        <f t="shared" ref="S59:Z59" si="56">1.16*S58</f>
        <v>0</v>
      </c>
      <c r="T59" s="97">
        <f t="shared" si="56"/>
        <v>0</v>
      </c>
      <c r="U59" s="97">
        <f t="shared" si="56"/>
        <v>0</v>
      </c>
      <c r="V59" s="97">
        <f t="shared" si="56"/>
        <v>0</v>
      </c>
      <c r="W59" s="97">
        <f t="shared" si="56"/>
        <v>0</v>
      </c>
      <c r="X59" s="97">
        <f t="shared" si="56"/>
        <v>0</v>
      </c>
      <c r="Y59" s="97">
        <f t="shared" si="56"/>
        <v>0</v>
      </c>
      <c r="Z59" s="97">
        <f t="shared" si="56"/>
        <v>115999.99999999999</v>
      </c>
      <c r="AA59" s="97">
        <f t="shared" ref="AA59:AH59" si="57">1.16*AA58</f>
        <v>0</v>
      </c>
      <c r="AB59" s="97">
        <f t="shared" si="57"/>
        <v>115999.99999999999</v>
      </c>
      <c r="AC59" s="97">
        <f t="shared" si="57"/>
        <v>0</v>
      </c>
      <c r="AD59" s="97">
        <f t="shared" si="57"/>
        <v>115999.99999999999</v>
      </c>
      <c r="AE59" s="97">
        <f t="shared" si="57"/>
        <v>0</v>
      </c>
      <c r="AF59" s="97">
        <f t="shared" si="57"/>
        <v>0</v>
      </c>
      <c r="AG59" s="97">
        <f t="shared" si="57"/>
        <v>399040</v>
      </c>
      <c r="AH59" s="97" t="e">
        <f t="shared" si="57"/>
        <v>#REF!</v>
      </c>
      <c r="AI59" s="97" t="e">
        <f t="shared" ref="AI59" si="58">1.16*AI58</f>
        <v>#REF!</v>
      </c>
      <c r="AK59" s="118">
        <f>AL58+1</f>
        <v>39677</v>
      </c>
      <c r="AL59" s="119">
        <v>46605</v>
      </c>
      <c r="AM59" s="120">
        <v>0.22700000000000001</v>
      </c>
      <c r="AN59" s="121">
        <v>-3.2000000000000001E-2</v>
      </c>
      <c r="AO59" s="122">
        <v>0.123</v>
      </c>
      <c r="AP59" s="13">
        <f t="shared" si="54"/>
        <v>6928</v>
      </c>
      <c r="AQ59" s="13">
        <f t="shared" si="55"/>
        <v>1572.6559999999999</v>
      </c>
      <c r="AR59" s="97">
        <f t="shared" ref="AR59:AR65" si="59">AR58+AQ59</f>
        <v>9531.6615999999995</v>
      </c>
      <c r="AS59" s="114">
        <f>AR58+AM59*(S64-AK59)</f>
        <v>10120.7266</v>
      </c>
      <c r="AT59" s="114">
        <f>AR58+AM59*(T64-AK59)</f>
        <v>49798.056599999996</v>
      </c>
      <c r="AU59" s="115">
        <f>AR58+AM59*(U64-AK59)</f>
        <v>9186.7941200000005</v>
      </c>
      <c r="AV59" s="115">
        <f>AR58+AM59*(V64-AK59)</f>
        <v>51669.045079999996</v>
      </c>
      <c r="AW59" s="115">
        <f>AR58+AM59*(W64-AK59)</f>
        <v>10589.2546</v>
      </c>
      <c r="AX59" s="43">
        <f>AR58+AM59*(X64-AK59)</f>
        <v>50266.584600000002</v>
      </c>
      <c r="AY59" s="115">
        <f>AR58+AM59*(Y64-AK59)</f>
        <v>50735.112600000008</v>
      </c>
      <c r="AZ59" s="115">
        <f>AR58+AM59*(Z64-AK59)</f>
        <v>-1047.6733999999997</v>
      </c>
      <c r="BA59" s="115">
        <f>AR58+AM59*(AA64-AK59)</f>
        <v>8089.6001782525645</v>
      </c>
      <c r="BB59" s="43">
        <f>AR58+AM59*(AB64-AK59)</f>
        <v>-1047.6733999999997</v>
      </c>
      <c r="BC59" s="43">
        <f>AR58+AM59*(AC64-AK59)</f>
        <v>8032.3266000000003</v>
      </c>
      <c r="BD59" s="43">
        <f>AR58+AM59*(AD64-AK59)</f>
        <v>-722.4882671133546</v>
      </c>
      <c r="BE59" s="43">
        <f>AR58+AM59*(AE64-AK59)</f>
        <v>8032.3266000000003</v>
      </c>
      <c r="BF59" s="43" t="e">
        <f>AR58+AM59*(AF64-AK59)</f>
        <v>#VALUE!</v>
      </c>
      <c r="BG59" s="43">
        <f>AR58+AM59*(AG64-AK59)</f>
        <v>49798.056599999996</v>
      </c>
      <c r="BH59" s="43">
        <f>AR58+AM59*(AH64-AK59)</f>
        <v>-1047.6733999999997</v>
      </c>
      <c r="BI59" s="43">
        <f>AR58+AM59*(AI64-AK59)</f>
        <v>8032.3266000000003</v>
      </c>
      <c r="BJ59" s="115">
        <f>S58*AO59</f>
        <v>0</v>
      </c>
      <c r="BK59" s="115">
        <f>T58*AO59</f>
        <v>0</v>
      </c>
      <c r="BL59" s="115">
        <f>U58*AO59</f>
        <v>0</v>
      </c>
      <c r="BM59" s="115">
        <f>V58*AO59</f>
        <v>0</v>
      </c>
      <c r="BN59" s="115">
        <f>W58*AO59</f>
        <v>0</v>
      </c>
      <c r="BO59" s="115">
        <f>X58*AO59</f>
        <v>0</v>
      </c>
      <c r="BP59" s="43">
        <f>Y58*AO59</f>
        <v>0</v>
      </c>
      <c r="BQ59" s="43">
        <f>Z58*AO59</f>
        <v>12300</v>
      </c>
      <c r="BR59" s="43">
        <f>AA58*AO59</f>
        <v>0</v>
      </c>
      <c r="BS59" s="43">
        <f>AB58*AO59</f>
        <v>12300</v>
      </c>
      <c r="BT59" s="43">
        <f>AC58*AO59</f>
        <v>0</v>
      </c>
      <c r="BU59" s="43">
        <f>AD58*AO59</f>
        <v>12300</v>
      </c>
      <c r="BV59" s="43">
        <f>AE58*AO59</f>
        <v>0</v>
      </c>
      <c r="BW59" s="43">
        <f>AF58*AO59</f>
        <v>0</v>
      </c>
      <c r="BX59" s="43">
        <f>AG58*AO59</f>
        <v>42312</v>
      </c>
      <c r="BY59" s="43" t="e">
        <f>AH58*AO59</f>
        <v>#REF!</v>
      </c>
      <c r="BZ59" s="43" t="e">
        <f>AI58*AO59</f>
        <v>#REF!</v>
      </c>
      <c r="CA59" s="44">
        <f>AN59*S60</f>
        <v>0</v>
      </c>
      <c r="CB59" s="44">
        <f>AN59*T60</f>
        <v>0</v>
      </c>
      <c r="CC59" s="44">
        <f>AN59*U60</f>
        <v>-221.26079999999999</v>
      </c>
      <c r="CD59" s="44">
        <f>AN59*V60</f>
        <v>0</v>
      </c>
      <c r="CE59" s="44">
        <f>AN59*W60</f>
        <v>-110.63039999999999</v>
      </c>
      <c r="CF59" s="44">
        <f>AN59*X60</f>
        <v>-110.63039999999999</v>
      </c>
      <c r="CG59" s="44">
        <f>AN59*Y60</f>
        <v>-221.26079999999999</v>
      </c>
      <c r="CH59" s="44">
        <f>AN59*Z60</f>
        <v>0</v>
      </c>
      <c r="CI59" s="44">
        <f>AN59*AA60</f>
        <v>-319.28493036258243</v>
      </c>
      <c r="CJ59" s="44">
        <f>AN59*AB60</f>
        <v>0</v>
      </c>
      <c r="CK59" s="44">
        <f>AN59*AC60</f>
        <v>0</v>
      </c>
      <c r="CL59" s="44">
        <f>AN59*AD60</f>
        <v>-92.603580666632581</v>
      </c>
      <c r="CM59" s="44">
        <f>AN59*AE60</f>
        <v>0</v>
      </c>
      <c r="CN59" s="44">
        <f>AN59*AF60</f>
        <v>0</v>
      </c>
      <c r="CO59" s="44">
        <f>AN59*AG60</f>
        <v>0</v>
      </c>
      <c r="CP59" s="44">
        <f>AN59*AH60</f>
        <v>0</v>
      </c>
      <c r="CQ59" s="44">
        <f>AN59*AI60</f>
        <v>-1.3779927902266853E-3</v>
      </c>
      <c r="CR59" t="s">
        <v>36</v>
      </c>
      <c r="CS59">
        <v>10208</v>
      </c>
      <c r="CT59" s="117">
        <v>5.0599999999999999E-2</v>
      </c>
      <c r="CU59">
        <f>CT59*CS59</f>
        <v>516.52480000000003</v>
      </c>
      <c r="CV59" s="16">
        <f>IF(S65&gt;CS59,CU59,CU59-(CS59-S65)*CT59)</f>
        <v>516.52480000000003</v>
      </c>
      <c r="CW59" s="16">
        <f>IF(T65&gt;CS59,CU59,CU59-(CS59-T65)*CT59)</f>
        <v>516.52480000000003</v>
      </c>
      <c r="CX59" s="16">
        <f>IF(U65&gt;CS59,CU59,CU59-(CS59-U65)*CT59)</f>
        <v>516.52480000000003</v>
      </c>
      <c r="CY59" s="16">
        <f>IF(V65&gt;CS59,CU59,CU59-(CS59-V65)*CT59)</f>
        <v>516.52480000000003</v>
      </c>
      <c r="CZ59" s="16">
        <f>IF(W65&gt;CS59,CU59,CU59-(CS59-W65)*CT59)</f>
        <v>516.52480000000003</v>
      </c>
      <c r="DA59" s="16">
        <f>IF(X65&gt;CS59,CU59,CU59-(CS59-X65)*CT59)</f>
        <v>516.52480000000003</v>
      </c>
      <c r="DB59" s="16">
        <f>IF(Y65&gt;CS59,CU59,CU59-(CS59-Y65)*CT59)</f>
        <v>516.52480000000003</v>
      </c>
      <c r="DC59" s="16">
        <f>IF(Z65&gt;CS59,CU59,CU59-(CS59-Z65)*CT59)</f>
        <v>516.52480000000003</v>
      </c>
      <c r="DD59" s="16">
        <f>IF(AA65&gt;CS59,CU59,CU59-(CS59-AA65)*CT59)</f>
        <v>516.52480000000003</v>
      </c>
      <c r="DE59" s="219">
        <f>IF(AB65&gt;CS59,CU59,CU59-(CS59-AB65)*CT59)</f>
        <v>516.52480000000003</v>
      </c>
      <c r="DF59" s="219">
        <f>IF(AC65&gt;CS59,CU59,CU59-(CS59-AC65)*CT59)</f>
        <v>516.52480000000003</v>
      </c>
      <c r="DG59" s="219">
        <f>IF(AD65&gt;CS59,CU59,CU59-(CS59-AD65)*CT59)</f>
        <v>516.52480000000003</v>
      </c>
      <c r="DH59" s="219">
        <f>IF(AE65&gt;CS59,CU59,CU59-(CS59-AE65)*CT59)</f>
        <v>516.52480000000003</v>
      </c>
      <c r="DI59" s="219" t="e">
        <f>IF(AF65&gt;CS59,CU59,CU59-(CS59-AF65)*CT59)</f>
        <v>#VALUE!</v>
      </c>
      <c r="DJ59" s="219">
        <f>IF(AG65&gt;CS59,CU59,CU59-(CS59-AG65)*CT59)</f>
        <v>516.52480000000003</v>
      </c>
      <c r="DK59" s="219" t="e">
        <f>IF(AH65&gt;CS59,CU59,CU59-(CS59-AH65)*CT59)</f>
        <v>#REF!</v>
      </c>
      <c r="DL59" s="219" t="e">
        <f>IF(AI65&gt;CS59,CU59,CU59-(CS59-AI65)*CT59)</f>
        <v>#REF!</v>
      </c>
    </row>
    <row r="60" spans="1:116" ht="15" customHeight="1" x14ac:dyDescent="0.25">
      <c r="A60" s="46"/>
      <c r="B60" s="406" t="s">
        <v>233</v>
      </c>
      <c r="C60" s="411">
        <f t="shared" ref="C60:C84" si="60">F90</f>
        <v>355454.37783999997</v>
      </c>
      <c r="D60" s="415">
        <f t="shared" ref="D60:D84" si="61">D90</f>
        <v>337120</v>
      </c>
      <c r="E60" s="415">
        <f t="shared" ref="E60:E84" si="62">G90</f>
        <v>7144.6329945839998</v>
      </c>
      <c r="F60" s="419">
        <f t="shared" ref="F60:F84" si="63">H90</f>
        <v>4265.4525340800001</v>
      </c>
      <c r="G60" s="423">
        <f t="shared" ref="G60:G84" si="64">I90</f>
        <v>17772.718892000001</v>
      </c>
      <c r="H60" s="427">
        <f t="shared" ref="H60:H84" si="65">P90</f>
        <v>4.8423900000000002E-3</v>
      </c>
      <c r="I60" s="427">
        <f t="shared" ref="I60:I84" si="66">K90</f>
        <v>2.3187898402281217E-2</v>
      </c>
      <c r="J60" s="402">
        <f t="shared" ref="J60:J84" si="67">H60+I60</f>
        <v>2.8030288402281216E-2</v>
      </c>
      <c r="K60" s="46"/>
      <c r="L60" s="557">
        <v>2</v>
      </c>
      <c r="M60" s="561">
        <f>G121-D90</f>
        <v>15070.316639999975</v>
      </c>
      <c r="N60" s="552">
        <f>F90-D90</f>
        <v>18334.377839999972</v>
      </c>
      <c r="O60" s="46"/>
      <c r="P60" s="46"/>
      <c r="Q60" s="97" t="e">
        <f>B63+#REF!</f>
        <v>#VALUE!</v>
      </c>
      <c r="R60" s="3" t="s">
        <v>38</v>
      </c>
      <c r="S60" s="97">
        <f t="shared" ref="S60:Z60" si="68">S29</f>
        <v>0</v>
      </c>
      <c r="T60" s="97">
        <f t="shared" si="68"/>
        <v>0</v>
      </c>
      <c r="U60" s="97">
        <f t="shared" si="68"/>
        <v>6914.4</v>
      </c>
      <c r="V60" s="97">
        <f t="shared" si="68"/>
        <v>0</v>
      </c>
      <c r="W60" s="97">
        <f t="shared" si="68"/>
        <v>3457.2</v>
      </c>
      <c r="X60" s="97">
        <f t="shared" si="68"/>
        <v>3457.2</v>
      </c>
      <c r="Y60" s="97">
        <f t="shared" si="68"/>
        <v>6914.4</v>
      </c>
      <c r="Z60" s="97">
        <f t="shared" si="68"/>
        <v>0</v>
      </c>
      <c r="AA60" s="97">
        <f t="shared" ref="AA60:AH60" si="69">AA29</f>
        <v>9977.6540738307012</v>
      </c>
      <c r="AB60" s="97">
        <f t="shared" si="69"/>
        <v>0</v>
      </c>
      <c r="AC60" s="97">
        <f t="shared" si="69"/>
        <v>0</v>
      </c>
      <c r="AD60" s="97">
        <f t="shared" si="69"/>
        <v>2893.8618958322681</v>
      </c>
      <c r="AE60" s="97">
        <f t="shared" si="69"/>
        <v>0</v>
      </c>
      <c r="AF60" s="97">
        <f t="shared" si="69"/>
        <v>0</v>
      </c>
      <c r="AG60" s="97">
        <f t="shared" si="69"/>
        <v>0</v>
      </c>
      <c r="AH60" s="97">
        <f t="shared" si="69"/>
        <v>0</v>
      </c>
      <c r="AI60" s="97">
        <f t="shared" ref="AI60" si="70">AI29</f>
        <v>4.3062274694583916E-2</v>
      </c>
      <c r="AK60" s="67">
        <f t="shared" ref="AK60:AK65" si="71">AL59+1</f>
        <v>46606</v>
      </c>
      <c r="AL60" s="123">
        <v>79353</v>
      </c>
      <c r="AM60" s="111">
        <v>0.28199999999999997</v>
      </c>
      <c r="AN60" s="112">
        <v>4.3900000000000002E-2</v>
      </c>
      <c r="AO60" s="113">
        <v>0.18679999999999999</v>
      </c>
      <c r="AP60" s="13">
        <f t="shared" si="54"/>
        <v>32747</v>
      </c>
      <c r="AQ60" s="13">
        <f t="shared" si="55"/>
        <v>9234.6539999999986</v>
      </c>
      <c r="AR60" s="97">
        <f t="shared" si="59"/>
        <v>18766.315599999998</v>
      </c>
      <c r="AS60" s="114">
        <f>AR59+AM60*(S64-AK60)</f>
        <v>10263.169599999999</v>
      </c>
      <c r="AT60" s="114">
        <f>AR59+AM60*(T64-AK60)</f>
        <v>59553.949599999993</v>
      </c>
      <c r="AU60" s="115">
        <f>AR59+AM60*(U64-AK60)</f>
        <v>9102.9539199999999</v>
      </c>
      <c r="AV60" s="115">
        <f>AR59+AM60*(V64-AK60)</f>
        <v>61878.261279999992</v>
      </c>
      <c r="AW60" s="115">
        <f>AR59+AM60*(W64-AK60)</f>
        <v>10845.2176</v>
      </c>
      <c r="AX60" s="43">
        <f>AS59+AM60*(X64-AK60)</f>
        <v>60725.062599999997</v>
      </c>
      <c r="AY60" s="115">
        <f>AR59+AM60*(Y64-AK60)</f>
        <v>60718.045599999998</v>
      </c>
      <c r="AZ60" s="115">
        <f>AR59+AM60*(Z64-AK60)</f>
        <v>-3611.2303999999986</v>
      </c>
      <c r="BA60" s="115">
        <f>AR59+AM60*(AA64-AK60)</f>
        <v>7739.9200364194849</v>
      </c>
      <c r="BB60" s="43">
        <f>AR59+AM60*(AB64-AK60)</f>
        <v>-3611.2303999999986</v>
      </c>
      <c r="BC60" s="43">
        <f>AR59+AM60*(AC64-AK60)</f>
        <v>7668.7695999999996</v>
      </c>
      <c r="BD60" s="43">
        <f>AR59+AM60*(AD64-AK60)</f>
        <v>-3207.2559177355324</v>
      </c>
      <c r="BE60" s="43">
        <f>AR59+AM60*(AE64-AK60)</f>
        <v>7668.7695999999996</v>
      </c>
      <c r="BF60" s="43" t="e">
        <f>AR59+AM60*(AF64-AK60)</f>
        <v>#VALUE!</v>
      </c>
      <c r="BG60" s="43">
        <f>AR59+AM60*(AG64-AK60)</f>
        <v>59553.949599999993</v>
      </c>
      <c r="BH60" s="43">
        <f>AR59+AM60*(AH64-AK60)</f>
        <v>-3611.2303999999986</v>
      </c>
      <c r="BI60" s="43">
        <f>AR59+AM60*(AI64-AK60)</f>
        <v>7668.7695999999996</v>
      </c>
      <c r="BJ60" s="115">
        <f>S58*AO60</f>
        <v>0</v>
      </c>
      <c r="BK60" s="115">
        <f>T58*AO60</f>
        <v>0</v>
      </c>
      <c r="BL60" s="115">
        <f>U58*AO60</f>
        <v>0</v>
      </c>
      <c r="BM60" s="115">
        <f>V58*AO60</f>
        <v>0</v>
      </c>
      <c r="BN60" s="115">
        <f>W58*AO60</f>
        <v>0</v>
      </c>
      <c r="BO60" s="115">
        <f>X58*AO60</f>
        <v>0</v>
      </c>
      <c r="BP60" s="43">
        <f>Y58*AO60</f>
        <v>0</v>
      </c>
      <c r="BQ60" s="43">
        <f>Z58*AO60</f>
        <v>18680</v>
      </c>
      <c r="BR60" s="43">
        <f>AA58*AO60</f>
        <v>0</v>
      </c>
      <c r="BS60" s="43">
        <f>AB58*AO60</f>
        <v>18680</v>
      </c>
      <c r="BT60" s="43">
        <f>AC58*AO60</f>
        <v>0</v>
      </c>
      <c r="BU60" s="43">
        <f>AD58*AO60</f>
        <v>18680</v>
      </c>
      <c r="BV60" s="43">
        <f>AE58*AO60</f>
        <v>0</v>
      </c>
      <c r="BW60" s="43">
        <f>AF58*AO60</f>
        <v>0</v>
      </c>
      <c r="BX60" s="43">
        <f>AG58*AO60</f>
        <v>64259.199999999997</v>
      </c>
      <c r="BY60" s="43" t="e">
        <f>AH58*AO60</f>
        <v>#REF!</v>
      </c>
      <c r="BZ60" s="43" t="e">
        <f>AI58*AO60</f>
        <v>#REF!</v>
      </c>
      <c r="CA60" s="44">
        <f>AN60*S60</f>
        <v>0</v>
      </c>
      <c r="CB60" s="44">
        <f>AN60*T60</f>
        <v>0</v>
      </c>
      <c r="CC60" s="44">
        <f>AN60*U60</f>
        <v>303.54215999999997</v>
      </c>
      <c r="CD60" s="44">
        <f>AN60*V60</f>
        <v>0</v>
      </c>
      <c r="CE60" s="44">
        <f>AN60*W60</f>
        <v>151.77107999999998</v>
      </c>
      <c r="CF60" s="44">
        <f>AN60*X60</f>
        <v>151.77107999999998</v>
      </c>
      <c r="CG60" s="44">
        <f>AN60*Y60</f>
        <v>303.54215999999997</v>
      </c>
      <c r="CH60" s="44">
        <f>AN60*Z60</f>
        <v>0</v>
      </c>
      <c r="CI60" s="44">
        <f>AN60*AA60</f>
        <v>438.0190138411678</v>
      </c>
      <c r="CJ60" s="44">
        <f>AN60*AB60</f>
        <v>0</v>
      </c>
      <c r="CK60" s="44">
        <f>AN60*AC60</f>
        <v>0</v>
      </c>
      <c r="CL60" s="44">
        <f>AN60*AD60</f>
        <v>127.04053722703658</v>
      </c>
      <c r="CM60" s="44">
        <f>AN60*AE60</f>
        <v>0</v>
      </c>
      <c r="CN60" s="44">
        <f>AN60*AF60</f>
        <v>0</v>
      </c>
      <c r="CO60" s="44">
        <f>AN60*AG60</f>
        <v>0</v>
      </c>
      <c r="CP60" s="44">
        <f>AN60*AH60</f>
        <v>0</v>
      </c>
      <c r="CQ60" s="44">
        <f>AN60*AI60</f>
        <v>1.8904338590922339E-3</v>
      </c>
    </row>
    <row r="61" spans="1:116" ht="15" customHeight="1" x14ac:dyDescent="0.25">
      <c r="A61" s="46"/>
      <c r="B61" s="407" t="s">
        <v>259</v>
      </c>
      <c r="C61" s="410">
        <f t="shared" si="60"/>
        <v>367564.60597915534</v>
      </c>
      <c r="D61" s="414">
        <f t="shared" si="61"/>
        <v>330377.59999999998</v>
      </c>
      <c r="E61" s="414">
        <f t="shared" si="62"/>
        <v>7388.0485801810219</v>
      </c>
      <c r="F61" s="418">
        <f t="shared" si="63"/>
        <v>4410.7752717498643</v>
      </c>
      <c r="G61" s="422">
        <f t="shared" si="64"/>
        <v>18378.230298957769</v>
      </c>
      <c r="H61" s="426">
        <f t="shared" si="65"/>
        <v>4.8423900000000002E-3</v>
      </c>
      <c r="I61" s="426">
        <f t="shared" si="66"/>
        <v>2.2423921851897292E-2</v>
      </c>
      <c r="J61" s="401">
        <f t="shared" si="67"/>
        <v>2.726631185189729E-2</v>
      </c>
      <c r="K61" s="291"/>
      <c r="L61" s="405">
        <v>3</v>
      </c>
      <c r="M61" s="560">
        <f>G122-D91</f>
        <v>30394.277006995166</v>
      </c>
      <c r="N61" s="89">
        <f>F91-D91</f>
        <v>37187.005979155365</v>
      </c>
      <c r="O61" s="291"/>
      <c r="P61" s="291"/>
      <c r="Q61" s="6"/>
      <c r="R61" s="3" t="s">
        <v>39</v>
      </c>
      <c r="S61" s="97">
        <f t="shared" ref="S61:Z61" si="72">S60*1.38</f>
        <v>0</v>
      </c>
      <c r="T61" s="97">
        <f t="shared" si="72"/>
        <v>0</v>
      </c>
      <c r="U61" s="97">
        <f t="shared" si="72"/>
        <v>9541.8719999999994</v>
      </c>
      <c r="V61" s="97">
        <f t="shared" si="72"/>
        <v>0</v>
      </c>
      <c r="W61" s="97">
        <f t="shared" si="72"/>
        <v>4770.9359999999997</v>
      </c>
      <c r="X61" s="97">
        <f t="shared" si="72"/>
        <v>4770.9359999999997</v>
      </c>
      <c r="Y61" s="97">
        <f t="shared" si="72"/>
        <v>9541.8719999999994</v>
      </c>
      <c r="Z61" s="97">
        <f t="shared" si="72"/>
        <v>0</v>
      </c>
      <c r="AA61" s="97">
        <f t="shared" ref="AA61:AH61" si="73">AA60*1.38</f>
        <v>13769.162621886366</v>
      </c>
      <c r="AB61" s="97">
        <f t="shared" si="73"/>
        <v>0</v>
      </c>
      <c r="AC61" s="97">
        <f t="shared" si="73"/>
        <v>0</v>
      </c>
      <c r="AD61" s="97">
        <f t="shared" si="73"/>
        <v>3993.5294162485297</v>
      </c>
      <c r="AE61" s="97">
        <f t="shared" si="73"/>
        <v>0</v>
      </c>
      <c r="AF61" s="97">
        <f t="shared" si="73"/>
        <v>0</v>
      </c>
      <c r="AG61" s="97">
        <f t="shared" si="73"/>
        <v>0</v>
      </c>
      <c r="AH61" s="97">
        <f t="shared" si="73"/>
        <v>0</v>
      </c>
      <c r="AI61" s="97">
        <f t="shared" ref="AI61" si="74">AI60*1.38</f>
        <v>5.9425939078525801E-2</v>
      </c>
      <c r="AK61" s="118">
        <f t="shared" si="71"/>
        <v>79354</v>
      </c>
      <c r="AL61" s="119">
        <v>91107</v>
      </c>
      <c r="AM61" s="120">
        <v>0.31</v>
      </c>
      <c r="AN61" s="121">
        <v>8.2500000000000004E-2</v>
      </c>
      <c r="AO61" s="122">
        <v>0.21929999999999999</v>
      </c>
      <c r="AP61" s="13">
        <f t="shared" si="54"/>
        <v>11753</v>
      </c>
      <c r="AQ61" s="13">
        <f t="shared" si="55"/>
        <v>3643.43</v>
      </c>
      <c r="AR61" s="97">
        <f t="shared" si="59"/>
        <v>22409.745599999998</v>
      </c>
      <c r="AS61" s="114">
        <f>AR60+AM61*(S64-AK61)</f>
        <v>9418.5755999999983</v>
      </c>
      <c r="AT61" s="114">
        <f>AR60+AM61*(T64-AK61)</f>
        <v>63603.475599999991</v>
      </c>
      <c r="AU61" s="115">
        <f>AR60+AM61*(U64-AK61)</f>
        <v>8143.1611999999986</v>
      </c>
      <c r="AV61" s="115">
        <f>AR60+AM61*(V64-AK61)</f>
        <v>66158.569999999992</v>
      </c>
      <c r="AW61" s="115">
        <f>AR60+AM61*(W64-AK61)</f>
        <v>10058.415599999998</v>
      </c>
      <c r="AX61" s="43">
        <f>AR60+AM61*(X64-AK61)</f>
        <v>64243.315600000002</v>
      </c>
      <c r="AY61" s="115">
        <f>AR60+AM61*(Y64-AK61)</f>
        <v>64883.155599999998</v>
      </c>
      <c r="AZ61" s="115">
        <f>AR60+AM61*(Z64-AK61)</f>
        <v>-5833.4244000000035</v>
      </c>
      <c r="BA61" s="115">
        <f>AR60+AM61*(AA64-AK61)</f>
        <v>6644.790618759007</v>
      </c>
      <c r="BB61" s="43">
        <f>AR60+AM61*(AB64-AK61)</f>
        <v>-5833.4244000000035</v>
      </c>
      <c r="BC61" s="43">
        <f>AR60+AM61*(AC64-AK61)</f>
        <v>6566.5755999999983</v>
      </c>
      <c r="BD61" s="43">
        <f>AR60+AM61*(AD64-AK61)</f>
        <v>-5389.338976234103</v>
      </c>
      <c r="BE61" s="43">
        <f>AR60+AM61*(AE64-AK61)</f>
        <v>6566.5755999999983</v>
      </c>
      <c r="BF61" s="43" t="e">
        <f>AR60+AM61*(AF64-AK61)</f>
        <v>#VALUE!</v>
      </c>
      <c r="BG61" s="43">
        <f>AR60+AM61*(AG64-AK61)</f>
        <v>63603.475599999991</v>
      </c>
      <c r="BH61" s="43">
        <f>AR60+AM61*(AH64-AK61)</f>
        <v>-5833.4244000000035</v>
      </c>
      <c r="BI61" s="43">
        <f>AR60+AM61*(AI64-AK61)</f>
        <v>6566.5755999999983</v>
      </c>
      <c r="BJ61" s="115">
        <f>S58*AO61</f>
        <v>0</v>
      </c>
      <c r="BK61" s="115">
        <f>T58*AO61</f>
        <v>0</v>
      </c>
      <c r="BL61" s="115">
        <f>U58*AO61</f>
        <v>0</v>
      </c>
      <c r="BM61" s="115">
        <f>V58*AO61</f>
        <v>0</v>
      </c>
      <c r="BN61" s="115">
        <f>W58*AO61</f>
        <v>0</v>
      </c>
      <c r="BO61" s="115">
        <f>X58*AP61</f>
        <v>0</v>
      </c>
      <c r="BP61" s="43">
        <f>Y58*AO61</f>
        <v>0</v>
      </c>
      <c r="BQ61" s="43">
        <f>Z58*AO61</f>
        <v>21930</v>
      </c>
      <c r="BR61" s="43">
        <f>AA58*AO61</f>
        <v>0</v>
      </c>
      <c r="BS61" s="43">
        <f>AB58*AO61</f>
        <v>21930</v>
      </c>
      <c r="BT61" s="43">
        <f>AC58*AO61</f>
        <v>0</v>
      </c>
      <c r="BU61" s="43">
        <f>AD58*AO61</f>
        <v>21930</v>
      </c>
      <c r="BV61" s="43">
        <f>AE58*AO61</f>
        <v>0</v>
      </c>
      <c r="BW61" s="43">
        <f>AF58*AO61</f>
        <v>0</v>
      </c>
      <c r="BX61" s="43">
        <f>AG58*AO61</f>
        <v>75439.199999999997</v>
      </c>
      <c r="BY61" s="43" t="e">
        <f>AH58*AO61</f>
        <v>#REF!</v>
      </c>
      <c r="BZ61" s="43" t="e">
        <f>AI58*AO61</f>
        <v>#REF!</v>
      </c>
      <c r="CA61" s="44">
        <f>AN61*S60</f>
        <v>0</v>
      </c>
      <c r="CB61" s="44">
        <f>AN61*T60</f>
        <v>0</v>
      </c>
      <c r="CC61" s="44">
        <f>AN61*U60</f>
        <v>570.43799999999999</v>
      </c>
      <c r="CD61" s="44">
        <f>AN61*V60</f>
        <v>0</v>
      </c>
      <c r="CE61" s="44">
        <f>AN61*W60</f>
        <v>285.21899999999999</v>
      </c>
      <c r="CF61" s="44">
        <f>AN61*X60</f>
        <v>285.21899999999999</v>
      </c>
      <c r="CG61" s="44">
        <f>AN61*Y60</f>
        <v>570.43799999999999</v>
      </c>
      <c r="CH61" s="44">
        <f>AN61*Z60</f>
        <v>0</v>
      </c>
      <c r="CI61" s="44">
        <f>AN61*AA60</f>
        <v>823.15646109103284</v>
      </c>
      <c r="CJ61" s="44">
        <f>AN61*AB60</f>
        <v>0</v>
      </c>
      <c r="CK61" s="44">
        <f>AN61*AC60</f>
        <v>0</v>
      </c>
      <c r="CL61" s="44">
        <f>AN61*AD60</f>
        <v>238.74360640616214</v>
      </c>
      <c r="CM61" s="44">
        <f>AN61*AE60</f>
        <v>0</v>
      </c>
      <c r="CN61" s="44">
        <f>AN61*AF60</f>
        <v>0</v>
      </c>
      <c r="CO61" s="44">
        <f>AN61*AG60</f>
        <v>0</v>
      </c>
      <c r="CP61" s="44">
        <f>AN61*AH60</f>
        <v>0</v>
      </c>
      <c r="CQ61" s="44">
        <f>AN61*AI60</f>
        <v>3.5526376623031732E-3</v>
      </c>
    </row>
    <row r="62" spans="1:116" ht="15" customHeight="1" x14ac:dyDescent="0.25">
      <c r="A62" s="46"/>
      <c r="B62" s="406" t="s">
        <v>260</v>
      </c>
      <c r="C62" s="411">
        <f t="shared" si="60"/>
        <v>380368.23683811346</v>
      </c>
      <c r="D62" s="415">
        <f t="shared" si="61"/>
        <v>323770.04799999995</v>
      </c>
      <c r="E62" s="415">
        <f t="shared" si="62"/>
        <v>7645.4015604460801</v>
      </c>
      <c r="F62" s="419">
        <f t="shared" si="63"/>
        <v>4564.4188420573619</v>
      </c>
      <c r="G62" s="423">
        <f t="shared" si="64"/>
        <v>19018.411841905672</v>
      </c>
      <c r="H62" s="427">
        <f t="shared" si="65"/>
        <v>4.8423900000000002E-3</v>
      </c>
      <c r="I62" s="427">
        <f t="shared" si="66"/>
        <v>2.166910693835862E-2</v>
      </c>
      <c r="J62" s="402">
        <f t="shared" si="67"/>
        <v>2.6511496938358622E-2</v>
      </c>
      <c r="K62" s="46"/>
      <c r="L62" s="557">
        <v>4</v>
      </c>
      <c r="M62" s="561">
        <f>G123-D92</f>
        <v>45993.322446054954</v>
      </c>
      <c r="N62" s="552">
        <f>F92-D92</f>
        <v>56598.188838113507</v>
      </c>
      <c r="O62" s="46"/>
      <c r="P62" s="46"/>
      <c r="Q62" s="2"/>
      <c r="R62" s="3" t="s">
        <v>40</v>
      </c>
      <c r="S62" s="97">
        <f t="shared" ref="S62:Z62" si="75">S31</f>
        <v>0</v>
      </c>
      <c r="T62" s="97">
        <f t="shared" si="75"/>
        <v>0</v>
      </c>
      <c r="U62" s="97">
        <f t="shared" si="75"/>
        <v>0</v>
      </c>
      <c r="V62" s="97">
        <f t="shared" si="75"/>
        <v>0</v>
      </c>
      <c r="W62" s="97">
        <f t="shared" si="75"/>
        <v>0</v>
      </c>
      <c r="X62" s="97">
        <f t="shared" si="75"/>
        <v>0</v>
      </c>
      <c r="Y62" s="97">
        <f t="shared" si="75"/>
        <v>0</v>
      </c>
      <c r="Z62" s="97">
        <f t="shared" si="75"/>
        <v>0</v>
      </c>
      <c r="AA62" s="97">
        <f>AA31</f>
        <v>504.6130242516665</v>
      </c>
      <c r="AB62" s="97">
        <f>AB31</f>
        <v>0</v>
      </c>
      <c r="AC62" s="97">
        <f>AC31</f>
        <v>0</v>
      </c>
      <c r="AD62" s="97">
        <f>AD31</f>
        <v>2865.0672501025942</v>
      </c>
      <c r="AE62" s="97">
        <f>AE31</f>
        <v>0</v>
      </c>
      <c r="AF62" s="97" t="str">
        <f>AF31</f>
        <v>Total Drag</v>
      </c>
      <c r="AG62" s="97">
        <f>AG31</f>
        <v>0</v>
      </c>
      <c r="AH62" s="97">
        <f>AH31</f>
        <v>0</v>
      </c>
      <c r="AI62" s="97">
        <f t="shared" ref="AI62" si="76">AI31</f>
        <v>0</v>
      </c>
      <c r="AK62" s="67">
        <f t="shared" si="71"/>
        <v>91108</v>
      </c>
      <c r="AL62" s="123">
        <v>93208</v>
      </c>
      <c r="AM62" s="111">
        <v>0.32790000000000002</v>
      </c>
      <c r="AN62" s="112">
        <v>0.1072</v>
      </c>
      <c r="AO62" s="113">
        <v>0.24</v>
      </c>
      <c r="AP62" s="13">
        <f t="shared" si="54"/>
        <v>2100</v>
      </c>
      <c r="AQ62" s="13">
        <f t="shared" si="55"/>
        <v>688.59</v>
      </c>
      <c r="AR62" s="97">
        <f t="shared" si="59"/>
        <v>23098.335599999999</v>
      </c>
      <c r="AS62" s="114">
        <f>AR61+AM62*(S64-AK62)</f>
        <v>8668.1123999999982</v>
      </c>
      <c r="AT62" s="114">
        <f>AR61+AM62*(T64-AK62)</f>
        <v>65981.753400000001</v>
      </c>
      <c r="AU62" s="115">
        <f>AR61+AM62*(U64-AK62)</f>
        <v>7319.0531039999987</v>
      </c>
      <c r="AV62" s="115">
        <f>AR61+AM62*(V64-AK62)</f>
        <v>68684.383895999999</v>
      </c>
      <c r="AW62" s="115">
        <f>AR61+AM62*(W64-AK62)</f>
        <v>9344.8979999999974</v>
      </c>
      <c r="AX62" s="43">
        <f>AR61+AM62*(X64-AK62)</f>
        <v>66658.539000000004</v>
      </c>
      <c r="AY62" s="115">
        <f>AR61+AM62*(Y64-AK62)</f>
        <v>67335.324600000007</v>
      </c>
      <c r="AZ62" s="115">
        <f>AR61+AM62*(Z64-AK62)</f>
        <v>-7464.5676000000021</v>
      </c>
      <c r="BA62" s="115">
        <f>AR61+AM62*(AA64-AK62)</f>
        <v>5734.1637053260565</v>
      </c>
      <c r="BB62" s="43">
        <f>AR61+AM62*(AB64-AK62)</f>
        <v>-7464.5676000000021</v>
      </c>
      <c r="BC62" s="43">
        <f>AR61+AM62*(AC64-AK62)</f>
        <v>5651.4323999999979</v>
      </c>
      <c r="BD62" s="43">
        <f>AR61+AM62*(AD64-AK62)</f>
        <v>-6994.8398243456868</v>
      </c>
      <c r="BE62" s="43">
        <f>AR61+AM62*(AE64-AK62)</f>
        <v>5651.4323999999979</v>
      </c>
      <c r="BF62" s="43" t="e">
        <f>AR61+AM62*(AF64-AK62)</f>
        <v>#VALUE!</v>
      </c>
      <c r="BG62" s="43">
        <f>AR61+AM62*(AG64-AK62)</f>
        <v>65981.753400000001</v>
      </c>
      <c r="BH62" s="43">
        <f>AR61+AM62*(AH64-AK62)</f>
        <v>-7464.5676000000021</v>
      </c>
      <c r="BI62" s="43">
        <f>AR61+AM62*(AI64-AK62)</f>
        <v>5651.4323999999979</v>
      </c>
      <c r="BJ62" s="115">
        <f>S58*AO62</f>
        <v>0</v>
      </c>
      <c r="BK62" s="115">
        <f>T58*AO62</f>
        <v>0</v>
      </c>
      <c r="BL62" s="115">
        <f>U58*AO62</f>
        <v>0</v>
      </c>
      <c r="BM62" s="115">
        <f>V58*AO62</f>
        <v>0</v>
      </c>
      <c r="BN62" s="115">
        <f>W58*AO62</f>
        <v>0</v>
      </c>
      <c r="BO62" s="115">
        <f>X58*AO62</f>
        <v>0</v>
      </c>
      <c r="BP62" s="43">
        <f>Y58*AO62</f>
        <v>0</v>
      </c>
      <c r="BQ62" s="43">
        <f>Z58*AO62</f>
        <v>24000</v>
      </c>
      <c r="BR62" s="43">
        <f>AA58*AO62</f>
        <v>0</v>
      </c>
      <c r="BS62" s="43">
        <f>AB58*AO62</f>
        <v>24000</v>
      </c>
      <c r="BT62" s="43">
        <f>AC58*AO62</f>
        <v>0</v>
      </c>
      <c r="BU62" s="43">
        <f>AD58*AO62</f>
        <v>24000</v>
      </c>
      <c r="BV62" s="43">
        <f>AE58*AO62</f>
        <v>0</v>
      </c>
      <c r="BW62" s="43">
        <f>AF58*AO62</f>
        <v>0</v>
      </c>
      <c r="BX62" s="43">
        <f>AG58*AO62</f>
        <v>82560</v>
      </c>
      <c r="BY62" s="43" t="e">
        <f>AH58*AO62</f>
        <v>#REF!</v>
      </c>
      <c r="BZ62" s="43" t="e">
        <f>AI58*AO62</f>
        <v>#REF!</v>
      </c>
      <c r="CA62" s="44">
        <f>AN62*S60</f>
        <v>0</v>
      </c>
      <c r="CB62" s="44">
        <f>AN62*T60</f>
        <v>0</v>
      </c>
      <c r="CC62" s="44">
        <f>AN62*U60</f>
        <v>741.22367999999994</v>
      </c>
      <c r="CD62" s="44">
        <f>AN62*V60</f>
        <v>0</v>
      </c>
      <c r="CE62" s="44">
        <f>AN62*W60</f>
        <v>370.61183999999997</v>
      </c>
      <c r="CF62" s="44">
        <f>AN62*X60</f>
        <v>370.61183999999997</v>
      </c>
      <c r="CG62" s="44">
        <f>AN62*Y60</f>
        <v>741.22367999999994</v>
      </c>
      <c r="CH62" s="44">
        <f>AN62*Z60</f>
        <v>0</v>
      </c>
      <c r="CI62" s="44">
        <f>AN62*AA60</f>
        <v>1069.6045167146513</v>
      </c>
      <c r="CJ62" s="44">
        <f>AN62*AB60</f>
        <v>0</v>
      </c>
      <c r="CK62" s="44">
        <f>AN62*AC60</f>
        <v>0</v>
      </c>
      <c r="CL62" s="44">
        <f>AN62*AD60</f>
        <v>310.22199523321916</v>
      </c>
      <c r="CM62" s="44">
        <f>AN62*AE60</f>
        <v>0</v>
      </c>
      <c r="CN62" s="44">
        <f>AN62*AF60</f>
        <v>0</v>
      </c>
      <c r="CO62" s="44">
        <f>AN62*AG60</f>
        <v>0</v>
      </c>
      <c r="CP62" s="44">
        <f>AN62*AH60</f>
        <v>0</v>
      </c>
      <c r="CQ62" s="44">
        <f>AN62*AI60</f>
        <v>4.6162758472593959E-3</v>
      </c>
    </row>
    <row r="63" spans="1:116" ht="15" customHeight="1" x14ac:dyDescent="0.35">
      <c r="A63" s="292"/>
      <c r="B63" s="407" t="s">
        <v>261</v>
      </c>
      <c r="C63" s="410">
        <f t="shared" si="60"/>
        <v>393904.97299937776</v>
      </c>
      <c r="D63" s="414">
        <f t="shared" si="61"/>
        <v>317294.64703999995</v>
      </c>
      <c r="E63" s="414">
        <f t="shared" si="62"/>
        <v>7917.4899572874929</v>
      </c>
      <c r="F63" s="418">
        <f t="shared" si="63"/>
        <v>4726.8596759925331</v>
      </c>
      <c r="G63" s="422">
        <f t="shared" si="64"/>
        <v>19695.248649968889</v>
      </c>
      <c r="H63" s="426">
        <f t="shared" si="65"/>
        <v>4.8423900000000002E-3</v>
      </c>
      <c r="I63" s="426">
        <f t="shared" si="66"/>
        <v>2.0924437529284558E-2</v>
      </c>
      <c r="J63" s="401">
        <f t="shared" si="67"/>
        <v>2.576682752928456E-2</v>
      </c>
      <c r="K63" s="292"/>
      <c r="L63" s="405">
        <v>5</v>
      </c>
      <c r="M63" s="560">
        <f>G124-D93</f>
        <v>61889.732034694753</v>
      </c>
      <c r="N63" s="89">
        <f>F93-D93</f>
        <v>76610.325959377806</v>
      </c>
      <c r="O63" s="292"/>
      <c r="P63" s="292"/>
      <c r="Q63" s="2"/>
      <c r="R63" s="3" t="s">
        <v>41</v>
      </c>
      <c r="S63" s="97">
        <f t="shared" ref="S63:Z63" si="77">S32</f>
        <v>0</v>
      </c>
      <c r="T63" s="97">
        <f t="shared" si="77"/>
        <v>0</v>
      </c>
      <c r="U63" s="97">
        <f t="shared" si="77"/>
        <v>0</v>
      </c>
      <c r="V63" s="97">
        <f t="shared" si="77"/>
        <v>0</v>
      </c>
      <c r="W63" s="97">
        <f t="shared" si="77"/>
        <v>0</v>
      </c>
      <c r="X63" s="97">
        <f t="shared" si="77"/>
        <v>0</v>
      </c>
      <c r="Y63" s="97">
        <f t="shared" si="77"/>
        <v>0</v>
      </c>
      <c r="Z63" s="97">
        <f t="shared" si="77"/>
        <v>0</v>
      </c>
      <c r="AA63" s="97">
        <f>AA32</f>
        <v>252.30651212583325</v>
      </c>
      <c r="AB63" s="97">
        <f>AB32</f>
        <v>0</v>
      </c>
      <c r="AC63" s="97">
        <f>AC32</f>
        <v>0</v>
      </c>
      <c r="AD63" s="97">
        <f>AD32</f>
        <v>1432.5336250512971</v>
      </c>
      <c r="AE63" s="97">
        <f>AE32</f>
        <v>0</v>
      </c>
      <c r="AF63" s="97" t="e">
        <f>AF32</f>
        <v>#VALUE!</v>
      </c>
      <c r="AG63" s="97">
        <f>AG32</f>
        <v>0</v>
      </c>
      <c r="AH63" s="97">
        <f>AH32</f>
        <v>0</v>
      </c>
      <c r="AI63" s="97">
        <f t="shared" ref="AI63" si="78">AI32</f>
        <v>0</v>
      </c>
      <c r="AJ63" s="16" t="s">
        <v>67</v>
      </c>
      <c r="AK63" s="118">
        <f t="shared" si="71"/>
        <v>93209</v>
      </c>
      <c r="AL63" s="119">
        <v>110630</v>
      </c>
      <c r="AM63" s="120">
        <v>0.38290000000000002</v>
      </c>
      <c r="AN63" s="121">
        <v>0.18310000000000001</v>
      </c>
      <c r="AO63" s="122">
        <v>0.30380000000000001</v>
      </c>
      <c r="AP63" s="13">
        <f t="shared" si="54"/>
        <v>17421</v>
      </c>
      <c r="AQ63" s="13">
        <f t="shared" si="55"/>
        <v>6670.5009</v>
      </c>
      <c r="AR63" s="97">
        <f t="shared" si="59"/>
        <v>29768.836499999998</v>
      </c>
      <c r="AS63" s="114">
        <f>AR62+AM63*(S64-AK63)</f>
        <v>6247.289499999999</v>
      </c>
      <c r="AT63" s="114">
        <f>AR62+AM63*(T64-AK63)</f>
        <v>73174.380499999999</v>
      </c>
      <c r="AU63" s="115">
        <f>AR62+AM63*(U64-AK63)</f>
        <v>4671.9470039999978</v>
      </c>
      <c r="AV63" s="115">
        <f>AR62+AM63*(V64-AK63)</f>
        <v>76330.334195999996</v>
      </c>
      <c r="AW63" s="115">
        <f>AR62+AM63*(W64-AK63)</f>
        <v>7037.5950999999986</v>
      </c>
      <c r="AX63" s="43">
        <f>AR62+AM63*(X64-AK63)</f>
        <v>73964.686099999992</v>
      </c>
      <c r="AY63" s="115">
        <f>AR62+AM63*(Y64-AK63)</f>
        <v>74754.991699999999</v>
      </c>
      <c r="AZ63" s="115">
        <f>AR62+AM63*(Z64-AK63)</f>
        <v>-12591.390500000001</v>
      </c>
      <c r="BA63" s="115">
        <f>AR62+AM63*(AA64-AK63)</f>
        <v>2821.2176634929783</v>
      </c>
      <c r="BB63" s="43">
        <f>AR62+AM63*(AB64-AK63)</f>
        <v>-12591.390500000001</v>
      </c>
      <c r="BC63" s="43">
        <f>AR62+AM63*(AC64-AK63)</f>
        <v>2724.6094999999987</v>
      </c>
      <c r="BD63" s="43">
        <f>AR62+AM63*(AD64-AK63)</f>
        <v>-12042.873374967865</v>
      </c>
      <c r="BE63" s="43">
        <f>AR62+AM63*(AE64-AK63)</f>
        <v>2724.6094999999987</v>
      </c>
      <c r="BF63" s="43" t="e">
        <f>AR62+AM63*(AF64-AK63)</f>
        <v>#VALUE!</v>
      </c>
      <c r="BG63" s="43">
        <f>AR62+AM63*(AG64-AK63)</f>
        <v>73174.380499999999</v>
      </c>
      <c r="BH63" s="43">
        <f>AR62+AM63*(AH64-AK63)</f>
        <v>-12591.390500000001</v>
      </c>
      <c r="BI63" s="43">
        <f>AR62+AM63*(AI64-AK63)</f>
        <v>2724.6094999999987</v>
      </c>
      <c r="BJ63" s="115">
        <f>S58*AO63</f>
        <v>0</v>
      </c>
      <c r="BK63" s="115">
        <f>T58*AO63</f>
        <v>0</v>
      </c>
      <c r="BL63" s="115">
        <f>U58*AO63</f>
        <v>0</v>
      </c>
      <c r="BM63" s="115">
        <f>V58*AO63</f>
        <v>0</v>
      </c>
      <c r="BN63" s="115">
        <f>W58*AO63</f>
        <v>0</v>
      </c>
      <c r="BO63" s="115">
        <f>X58*AO63</f>
        <v>0</v>
      </c>
      <c r="BP63" s="43">
        <f>Y58*AO63</f>
        <v>0</v>
      </c>
      <c r="BQ63" s="43">
        <f>Z58*AO63</f>
        <v>30380</v>
      </c>
      <c r="BR63" s="43">
        <f>AA58*AO63</f>
        <v>0</v>
      </c>
      <c r="BS63" s="43">
        <f>AB58*AO63</f>
        <v>30380</v>
      </c>
      <c r="BT63" s="43">
        <f>AC58*AO63</f>
        <v>0</v>
      </c>
      <c r="BU63" s="43">
        <f>AD58*AO63</f>
        <v>30380</v>
      </c>
      <c r="BV63" s="43">
        <f>AE58*AO63</f>
        <v>0</v>
      </c>
      <c r="BW63" s="43">
        <f>AF58*AO63</f>
        <v>0</v>
      </c>
      <c r="BX63" s="43">
        <f>AG58*AO63</f>
        <v>104507.20000000001</v>
      </c>
      <c r="BY63" s="43" t="e">
        <f>AH58*AO63</f>
        <v>#REF!</v>
      </c>
      <c r="BZ63" s="43" t="e">
        <f>AI58*AO63</f>
        <v>#REF!</v>
      </c>
      <c r="CA63" s="44">
        <f>AN63*S60</f>
        <v>0</v>
      </c>
      <c r="CB63" s="44">
        <f>AN63*T60</f>
        <v>0</v>
      </c>
      <c r="CC63" s="44">
        <f>AN63*U60</f>
        <v>1266.02664</v>
      </c>
      <c r="CD63" s="44">
        <f>AN63*V60</f>
        <v>0</v>
      </c>
      <c r="CE63" s="44">
        <f>AN63*W60</f>
        <v>633.01332000000002</v>
      </c>
      <c r="CF63" s="44">
        <f>AN63*X60</f>
        <v>633.01332000000002</v>
      </c>
      <c r="CG63" s="44">
        <f>AN63*Y60</f>
        <v>1266.02664</v>
      </c>
      <c r="CH63" s="44">
        <f>AN63*Z60</f>
        <v>0</v>
      </c>
      <c r="CI63" s="44">
        <f>AN63*AA60</f>
        <v>1826.9084609184015</v>
      </c>
      <c r="CJ63" s="44">
        <f>AN63*AB60</f>
        <v>0</v>
      </c>
      <c r="CK63" s="44">
        <f>AN63*AC60</f>
        <v>0</v>
      </c>
      <c r="CL63" s="44">
        <f>AN63*AD60</f>
        <v>529.86611312688831</v>
      </c>
      <c r="CM63" s="44">
        <f>AN63*AE60</f>
        <v>0</v>
      </c>
      <c r="CN63" s="44">
        <f>AN63*AF60</f>
        <v>0</v>
      </c>
      <c r="CO63" s="44">
        <f>AN63*AG60</f>
        <v>0</v>
      </c>
      <c r="CP63" s="44">
        <f>AN63*AH60</f>
        <v>0</v>
      </c>
      <c r="CQ63" s="44">
        <f>AN63*AI60</f>
        <v>7.8847024965783153E-3</v>
      </c>
    </row>
    <row r="64" spans="1:116" ht="15" customHeight="1" x14ac:dyDescent="0.25">
      <c r="A64" s="46"/>
      <c r="B64" s="406" t="s">
        <v>262</v>
      </c>
      <c r="C64" s="411">
        <f t="shared" si="60"/>
        <v>408216.79032043664</v>
      </c>
      <c r="D64" s="415">
        <f t="shared" si="61"/>
        <v>310948.75409919996</v>
      </c>
      <c r="E64" s="415">
        <f t="shared" si="62"/>
        <v>8205.1574854407772</v>
      </c>
      <c r="F64" s="419">
        <f t="shared" si="63"/>
        <v>4898.6014838452402</v>
      </c>
      <c r="G64" s="423">
        <f t="shared" si="64"/>
        <v>20410.839516021835</v>
      </c>
      <c r="H64" s="427">
        <f t="shared" si="65"/>
        <v>4.8423900000000002E-3</v>
      </c>
      <c r="I64" s="427">
        <f t="shared" si="66"/>
        <v>4.2134474641522146E-2</v>
      </c>
      <c r="J64" s="402">
        <f t="shared" si="67"/>
        <v>4.6976864641522148E-2</v>
      </c>
      <c r="K64" s="46"/>
      <c r="L64" s="557">
        <v>6</v>
      </c>
      <c r="M64" s="561">
        <f>G125-D94</f>
        <v>78106.666330576583</v>
      </c>
      <c r="N64" s="552">
        <f>F94-D94</f>
        <v>97268.036221236689</v>
      </c>
      <c r="O64" s="46"/>
      <c r="P64" s="46"/>
      <c r="Q64" s="80"/>
      <c r="R64" s="14" t="s">
        <v>43</v>
      </c>
      <c r="S64" s="130">
        <f t="shared" ref="S64:Z64" si="79">S55-S56+S63</f>
        <v>49200</v>
      </c>
      <c r="T64" s="130">
        <f t="shared" si="79"/>
        <v>223990</v>
      </c>
      <c r="U64" s="130">
        <f t="shared" si="79"/>
        <v>45085.760000000002</v>
      </c>
      <c r="V64" s="130">
        <f t="shared" si="79"/>
        <v>232232.24</v>
      </c>
      <c r="W64" s="130">
        <f t="shared" si="79"/>
        <v>51264</v>
      </c>
      <c r="X64" s="130">
        <f t="shared" si="79"/>
        <v>226054</v>
      </c>
      <c r="Y64" s="130">
        <f t="shared" si="79"/>
        <v>228118</v>
      </c>
      <c r="Z64" s="130">
        <f t="shared" si="79"/>
        <v>0</v>
      </c>
      <c r="AA64" s="130">
        <f t="shared" ref="AA64:AH64" si="80">AA55-AA56+AA63</f>
        <v>40252.306512125833</v>
      </c>
      <c r="AB64" s="130">
        <f t="shared" si="80"/>
        <v>0</v>
      </c>
      <c r="AC64" s="130">
        <f t="shared" si="80"/>
        <v>40000</v>
      </c>
      <c r="AD64" s="130">
        <f t="shared" si="80"/>
        <v>1432.5336250512971</v>
      </c>
      <c r="AE64" s="130">
        <f t="shared" si="80"/>
        <v>40000</v>
      </c>
      <c r="AF64" s="130" t="e">
        <f t="shared" si="80"/>
        <v>#VALUE!</v>
      </c>
      <c r="AG64" s="130">
        <f t="shared" si="80"/>
        <v>223990</v>
      </c>
      <c r="AH64" s="130">
        <f t="shared" si="80"/>
        <v>0</v>
      </c>
      <c r="AI64" s="130">
        <f t="shared" ref="AI64" si="81">AI55-AI56+AI63</f>
        <v>40000</v>
      </c>
      <c r="AJ64">
        <f>IF(S64&lt;AL58,AM58,IF(S64&lt;AL59,AM59,IF(S64&lt;AL60,AM60,IF(S64&lt;AL61,AM61,IF(S64&lt;AL62,AM62,IF(S64&lt;AL63,AM63,IF(S64&lt;AL64,AM64,IF(S64&lt;AL65,AM65,IF(S64&lt;AL66,AM66,AM67)))))))))</f>
        <v>0.28199999999999997</v>
      </c>
      <c r="AK64" s="67">
        <f t="shared" si="71"/>
        <v>110631</v>
      </c>
      <c r="AL64" s="123">
        <v>144489</v>
      </c>
      <c r="AM64" s="111">
        <v>0.40699999999999997</v>
      </c>
      <c r="AN64" s="112">
        <v>0.21640000000000001</v>
      </c>
      <c r="AO64" s="113">
        <v>0.33179999999999998</v>
      </c>
      <c r="AP64" s="13">
        <f>AL64-AK64</f>
        <v>33858</v>
      </c>
      <c r="AQ64" s="13">
        <f>AP64*AM64</f>
        <v>13780.205999999998</v>
      </c>
      <c r="AR64" s="97">
        <f t="shared" si="59"/>
        <v>43549.042499999996</v>
      </c>
      <c r="AS64" s="114">
        <f>AR63+AM64*(S64-AK64)</f>
        <v>4766.4195</v>
      </c>
      <c r="AT64" s="114">
        <f>AR63+AM64*(T64-AK64)</f>
        <v>75905.949499999988</v>
      </c>
      <c r="AU64" s="115">
        <f>AR63+AM64*(U64-AK64)</f>
        <v>3091.9238200000036</v>
      </c>
      <c r="AV64" s="115">
        <f>AR63+AM64*(V64-AK64)</f>
        <v>79260.54118</v>
      </c>
      <c r="AW64" s="115">
        <f>AR63+AM64*(W64-AK64)</f>
        <v>5606.4674999999988</v>
      </c>
      <c r="AX64" s="43">
        <f>AR63+AM64*(X64-AK64)</f>
        <v>76745.997499999998</v>
      </c>
      <c r="AY64" s="115">
        <f>AR63+AM64*(Y64-AK64)</f>
        <v>77586.045499999993</v>
      </c>
      <c r="AZ64" s="115">
        <f>AR63+AM64*(Z64-AK64)</f>
        <v>-15257.980499999998</v>
      </c>
      <c r="BA64" s="115">
        <f>AR63+AM64*(AA64-AK64)</f>
        <v>1124.7082504352111</v>
      </c>
      <c r="BB64" s="43">
        <f>AR63+AM64*(AB64-AK64)</f>
        <v>-15257.980499999998</v>
      </c>
      <c r="BC64" s="43">
        <f>AR63+AM64*(AC64-AK64)</f>
        <v>1022.0194999999985</v>
      </c>
      <c r="BD64" s="43">
        <f>AR63+AM64*(AD64-AK64)</f>
        <v>-14674.939314604126</v>
      </c>
      <c r="BE64" s="43">
        <f>AR63+AM64*(AE64-AK64)</f>
        <v>1022.0194999999985</v>
      </c>
      <c r="BF64" s="43" t="e">
        <f>AR63+AM64*(AF64-AK64)</f>
        <v>#VALUE!</v>
      </c>
      <c r="BG64" s="43">
        <f>AR63+AM64*(AG64-AK64)</f>
        <v>75905.949499999988</v>
      </c>
      <c r="BH64" s="43">
        <f>AR63+AM64*(AH64-AK64)</f>
        <v>-15257.980499999998</v>
      </c>
      <c r="BI64" s="43">
        <f>AR63+AM64*(AI64-AK64)</f>
        <v>1022.0194999999985</v>
      </c>
      <c r="BJ64" s="115">
        <f>S58*AO64</f>
        <v>0</v>
      </c>
      <c r="BK64" s="115">
        <f>T58*AO64</f>
        <v>0</v>
      </c>
      <c r="BL64" s="115">
        <f>U58*AO64</f>
        <v>0</v>
      </c>
      <c r="BM64" s="115">
        <f>V58*AO64</f>
        <v>0</v>
      </c>
      <c r="BN64" s="115">
        <f>W58*AO64</f>
        <v>0</v>
      </c>
      <c r="BO64" s="115">
        <f>X58*AO64</f>
        <v>0</v>
      </c>
      <c r="BP64" s="43">
        <f>Y58*AO64</f>
        <v>0</v>
      </c>
      <c r="BQ64" s="43">
        <f>Z58*AO64</f>
        <v>33180</v>
      </c>
      <c r="BR64" s="43">
        <f>AA58*AO64</f>
        <v>0</v>
      </c>
      <c r="BS64" s="43">
        <f>AB58*AO64</f>
        <v>33180</v>
      </c>
      <c r="BT64" s="43">
        <f>AC58*AO64</f>
        <v>0</v>
      </c>
      <c r="BU64" s="43">
        <f>AD58*AO64</f>
        <v>33180</v>
      </c>
      <c r="BV64" s="43">
        <f>AE58*AO64</f>
        <v>0</v>
      </c>
      <c r="BW64" s="43">
        <f>AF58*AO64</f>
        <v>0</v>
      </c>
      <c r="BX64" s="43">
        <f>AG58*AO64</f>
        <v>114139.2</v>
      </c>
      <c r="BY64" s="43" t="e">
        <f>AH58*AO64</f>
        <v>#REF!</v>
      </c>
      <c r="BZ64" s="43" t="e">
        <f>AI58*AO64</f>
        <v>#REF!</v>
      </c>
      <c r="CA64" s="44">
        <f>AN64*S60</f>
        <v>0</v>
      </c>
      <c r="CB64" s="44">
        <f>AN64*T60</f>
        <v>0</v>
      </c>
      <c r="CC64" s="44">
        <f>AN64*U60</f>
        <v>1496.2761599999999</v>
      </c>
      <c r="CD64" s="44">
        <f>AN64*V60</f>
        <v>0</v>
      </c>
      <c r="CE64" s="44">
        <f>AN64*W60</f>
        <v>748.13807999999995</v>
      </c>
      <c r="CF64" s="44">
        <f>AN64*X60</f>
        <v>748.13807999999995</v>
      </c>
      <c r="CG64" s="44">
        <f>AN64*Y60</f>
        <v>1496.2761599999999</v>
      </c>
      <c r="CH64" s="44">
        <f>AN64*Z60</f>
        <v>0</v>
      </c>
      <c r="CI64" s="44">
        <f>AN64*AA60</f>
        <v>2159.164341576964</v>
      </c>
      <c r="CJ64" s="44">
        <f>AN64*AB60</f>
        <v>0</v>
      </c>
      <c r="CK64" s="44">
        <f>AN64*AC60</f>
        <v>0</v>
      </c>
      <c r="CL64" s="44">
        <f>AN64*AD60</f>
        <v>626.2317142581029</v>
      </c>
      <c r="CM64" s="44">
        <f>AN64*AE60</f>
        <v>0</v>
      </c>
      <c r="CN64" s="44">
        <f>AN64*AF60</f>
        <v>0</v>
      </c>
      <c r="CO64" s="44">
        <f>AN64*AG60</f>
        <v>0</v>
      </c>
      <c r="CP64" s="44">
        <f>AN64*AH60</f>
        <v>0</v>
      </c>
      <c r="CQ64" s="44">
        <f>AN64*AI60</f>
        <v>9.3186762439079595E-3</v>
      </c>
    </row>
    <row r="65" spans="1:116" ht="15" customHeight="1" x14ac:dyDescent="0.25">
      <c r="A65" s="46"/>
      <c r="B65" s="407" t="s">
        <v>263</v>
      </c>
      <c r="C65" s="410">
        <f t="shared" si="60"/>
        <v>414390.30809605599</v>
      </c>
      <c r="D65" s="414">
        <f t="shared" si="61"/>
        <v>304729.77901721594</v>
      </c>
      <c r="E65" s="414">
        <f t="shared" si="62"/>
        <v>8329.2451927307247</v>
      </c>
      <c r="F65" s="418">
        <f t="shared" si="63"/>
        <v>4972.6836971526718</v>
      </c>
      <c r="G65" s="422">
        <f t="shared" si="64"/>
        <v>20719.515404802802</v>
      </c>
      <c r="H65" s="426">
        <f t="shared" si="65"/>
        <v>4.8423900000000002E-3</v>
      </c>
      <c r="I65" s="426">
        <f t="shared" si="66"/>
        <v>4.1506762257608174E-2</v>
      </c>
      <c r="J65" s="401">
        <f t="shared" si="67"/>
        <v>4.6349152257608175E-2</v>
      </c>
      <c r="K65" s="46"/>
      <c r="L65" s="405">
        <v>7</v>
      </c>
      <c r="M65" s="560">
        <f>G126-D95</f>
        <v>85710.453134395822</v>
      </c>
      <c r="N65" s="89">
        <f>F95-D95</f>
        <v>109660.52907884005</v>
      </c>
      <c r="O65" s="46"/>
      <c r="P65" s="46"/>
      <c r="Q65" s="2"/>
      <c r="R65" s="3" t="s">
        <v>45</v>
      </c>
      <c r="S65" s="97">
        <f>(S55-S56)+S59+S61+S63</f>
        <v>49200</v>
      </c>
      <c r="T65" s="135">
        <f t="shared" ref="T65:Z65" si="82">(T55-T56)+T59+T61+T63</f>
        <v>223990</v>
      </c>
      <c r="U65" s="97">
        <f t="shared" si="82"/>
        <v>54627.631999999998</v>
      </c>
      <c r="V65" s="135">
        <f t="shared" si="82"/>
        <v>232232.24</v>
      </c>
      <c r="W65" s="97">
        <f t="shared" si="82"/>
        <v>56034.936000000002</v>
      </c>
      <c r="X65" s="135">
        <f t="shared" si="82"/>
        <v>230824.93599999999</v>
      </c>
      <c r="Y65" s="135">
        <f t="shared" si="82"/>
        <v>237659.872</v>
      </c>
      <c r="Z65" s="135">
        <f t="shared" si="82"/>
        <v>115999.99999999999</v>
      </c>
      <c r="AA65" s="135">
        <f t="shared" ref="AA65:AH65" si="83">(AA55-AA56)+AA59+AA61+AA63</f>
        <v>54021.469134012201</v>
      </c>
      <c r="AB65" s="135">
        <f t="shared" si="83"/>
        <v>115999.99999999999</v>
      </c>
      <c r="AC65" s="135">
        <f t="shared" si="83"/>
        <v>40000</v>
      </c>
      <c r="AD65" s="135">
        <f t="shared" si="83"/>
        <v>121426.06304129981</v>
      </c>
      <c r="AE65" s="135">
        <f t="shared" si="83"/>
        <v>40000</v>
      </c>
      <c r="AF65" s="135" t="e">
        <f t="shared" si="83"/>
        <v>#VALUE!</v>
      </c>
      <c r="AG65" s="135">
        <f t="shared" si="83"/>
        <v>623030</v>
      </c>
      <c r="AH65" s="135" t="e">
        <f t="shared" si="83"/>
        <v>#REF!</v>
      </c>
      <c r="AI65" s="135" t="e">
        <f t="shared" ref="AI65" si="84">(AI55-AI56)+AI59+AI61+AI63</f>
        <v>#REF!</v>
      </c>
      <c r="AJ65">
        <f>AJ64*0.5</f>
        <v>0.14099999999999999</v>
      </c>
      <c r="AK65" s="67">
        <f t="shared" si="71"/>
        <v>144490</v>
      </c>
      <c r="AL65" s="123">
        <v>150000</v>
      </c>
      <c r="AM65" s="111">
        <v>0.437</v>
      </c>
      <c r="AN65" s="112">
        <v>0.25779999999999997</v>
      </c>
      <c r="AO65" s="113">
        <v>0.36659999999999998</v>
      </c>
      <c r="AP65" s="13">
        <f>AL65-AK65</f>
        <v>5510</v>
      </c>
      <c r="AQ65" s="13">
        <f>AP65*AM65</f>
        <v>2407.87</v>
      </c>
      <c r="AR65" s="97">
        <f t="shared" si="59"/>
        <v>45956.912499999999</v>
      </c>
      <c r="AS65" s="114">
        <f>AR64+AM65*(S64-AK65)</f>
        <v>1907.3124999999927</v>
      </c>
      <c r="AT65" s="114">
        <f>AR64+AM65*(T64-AK65)</f>
        <v>78290.542499999996</v>
      </c>
      <c r="AU65" s="115">
        <f>AR64+AM65*(U64-AK65)</f>
        <v>109.38962000000174</v>
      </c>
      <c r="AV65" s="115">
        <f>AR64+AM65*(V64-AK65)</f>
        <v>81892.401379999996</v>
      </c>
      <c r="AW65" s="115">
        <f>AR64+AM65*(W64-AK65)</f>
        <v>2809.2804999999935</v>
      </c>
      <c r="AX65" s="43">
        <f>AR64+AM65*(X64-AK65)</f>
        <v>79192.510500000004</v>
      </c>
      <c r="AY65" s="115">
        <f>AR64+AM65*(Y64-AK65)</f>
        <v>80094.478499999997</v>
      </c>
      <c r="AZ65" s="115">
        <f>AR64+AM65*(Z64-AK65)</f>
        <v>-19593.087500000001</v>
      </c>
      <c r="BA65" s="115">
        <f>AR64+AM65*(AA64-AK65)</f>
        <v>-2002.8295542010164</v>
      </c>
      <c r="BB65" s="43">
        <f>AR64+AM65*(AB64-AK65)</f>
        <v>-19593.087500000001</v>
      </c>
      <c r="BC65" s="43">
        <f>AR64+AM65*(AC64-AK65)</f>
        <v>-2113.0875000000015</v>
      </c>
      <c r="BD65" s="43">
        <f>AR64+AM65*(AD64-AK65)</f>
        <v>-18967.070305852591</v>
      </c>
      <c r="BE65" s="43">
        <f>AR64+AM65*(AE64-AK65)</f>
        <v>-2113.0875000000015</v>
      </c>
      <c r="BF65" s="43" t="e">
        <f>AR64+AM65*(AF64-AK65)</f>
        <v>#VALUE!</v>
      </c>
      <c r="BG65" s="43">
        <f>AR64+AM65*(AG64-AK65)</f>
        <v>78290.542499999996</v>
      </c>
      <c r="BH65" s="43">
        <f>AR64+AM65*(AH64-AK65)</f>
        <v>-19593.087500000001</v>
      </c>
      <c r="BI65" s="43">
        <f>AR64+AM65*(AI64-AK65)</f>
        <v>-2113.0875000000015</v>
      </c>
      <c r="BJ65" s="115">
        <f>S58*AO65</f>
        <v>0</v>
      </c>
      <c r="BK65" s="115">
        <f>T58*AO65</f>
        <v>0</v>
      </c>
      <c r="BL65" s="115">
        <f>U58*AO65</f>
        <v>0</v>
      </c>
      <c r="BM65" s="115">
        <f>V58*AO65</f>
        <v>0</v>
      </c>
      <c r="BN65" s="115">
        <f>W58*AO65</f>
        <v>0</v>
      </c>
      <c r="BO65" s="115">
        <f>X58*AO65</f>
        <v>0</v>
      </c>
      <c r="BP65" s="43">
        <f>Y58*AO65</f>
        <v>0</v>
      </c>
      <c r="BQ65" s="43">
        <f>Z58*AO65</f>
        <v>36660</v>
      </c>
      <c r="BR65" s="43">
        <f>AA58*AO65</f>
        <v>0</v>
      </c>
      <c r="BS65" s="43">
        <f>AB58*AO65</f>
        <v>36660</v>
      </c>
      <c r="BT65" s="43">
        <f>AC58*AO65</f>
        <v>0</v>
      </c>
      <c r="BU65" s="43">
        <f>AD58*AO65</f>
        <v>36660</v>
      </c>
      <c r="BV65" s="43">
        <f>AE58*AO65</f>
        <v>0</v>
      </c>
      <c r="BW65" s="43">
        <f>AF58*AO65</f>
        <v>0</v>
      </c>
      <c r="BX65" s="43">
        <f>AG58*AO65</f>
        <v>126110.39999999999</v>
      </c>
      <c r="BY65" s="43" t="e">
        <f>AH58*AO65</f>
        <v>#REF!</v>
      </c>
      <c r="BZ65" s="43" t="e">
        <f>AI58*AO65</f>
        <v>#REF!</v>
      </c>
      <c r="CA65" s="44">
        <f>AN65*S60</f>
        <v>0</v>
      </c>
      <c r="CB65" s="44">
        <f>AN65*T60</f>
        <v>0</v>
      </c>
      <c r="CC65" s="44">
        <f>AN65*U60</f>
        <v>1782.5323199999998</v>
      </c>
      <c r="CD65" s="44">
        <f>AN65*V60</f>
        <v>0</v>
      </c>
      <c r="CE65" s="44">
        <f>AN65*W60</f>
        <v>891.2661599999999</v>
      </c>
      <c r="CF65" s="44">
        <f>AN65*X60</f>
        <v>891.2661599999999</v>
      </c>
      <c r="CG65" s="44">
        <f>AN65*Y60</f>
        <v>1782.5323199999998</v>
      </c>
      <c r="CH65" s="44">
        <f>AN65*Z60</f>
        <v>0</v>
      </c>
      <c r="CI65" s="44">
        <f>AN65*AA60</f>
        <v>2572.2392202335545</v>
      </c>
      <c r="CJ65" s="44">
        <f>AN65*AB60</f>
        <v>0</v>
      </c>
      <c r="CK65" s="44">
        <f>AN65*AC60</f>
        <v>0</v>
      </c>
      <c r="CL65" s="44">
        <f>AN65*AD60</f>
        <v>746.03759674555863</v>
      </c>
      <c r="CM65" s="44">
        <f>AN65*AE60</f>
        <v>0</v>
      </c>
      <c r="CN65" s="44">
        <f>AN65*AF60</f>
        <v>0</v>
      </c>
      <c r="CO65" s="44">
        <f>AN65*AG60</f>
        <v>0</v>
      </c>
      <c r="CP65" s="44">
        <f>AN65*AH60</f>
        <v>0</v>
      </c>
      <c r="CQ65" s="44">
        <f>AN65*AI60</f>
        <v>1.1101454416263732E-2</v>
      </c>
    </row>
    <row r="66" spans="1:116" ht="15" customHeight="1" x14ac:dyDescent="0.25">
      <c r="A66" s="46"/>
      <c r="B66" s="406" t="s">
        <v>264</v>
      </c>
      <c r="C66" s="411">
        <f t="shared" si="60"/>
        <v>420917.30674479983</v>
      </c>
      <c r="D66" s="415">
        <f t="shared" si="61"/>
        <v>298635.18343687162</v>
      </c>
      <c r="E66" s="415">
        <f t="shared" si="62"/>
        <v>8460.4378655704768</v>
      </c>
      <c r="F66" s="419">
        <f t="shared" si="63"/>
        <v>5051.0076809375978</v>
      </c>
      <c r="G66" s="423">
        <f t="shared" si="64"/>
        <v>21045.865337239993</v>
      </c>
      <c r="H66" s="427">
        <f t="shared" si="65"/>
        <v>4.8423899999999994E-3</v>
      </c>
      <c r="I66" s="427">
        <f t="shared" si="66"/>
        <v>4.0863133267238824E-2</v>
      </c>
      <c r="J66" s="402">
        <f t="shared" si="67"/>
        <v>4.5705523267238826E-2</v>
      </c>
      <c r="K66" s="46"/>
      <c r="L66" s="557">
        <v>8</v>
      </c>
      <c r="M66" s="561">
        <f>G127-D96</f>
        <v>93256.011590804439</v>
      </c>
      <c r="N66" s="552">
        <f>F96-D96</f>
        <v>122282.12330792821</v>
      </c>
      <c r="O66" s="46"/>
      <c r="P66" s="46"/>
      <c r="Q66" s="2"/>
      <c r="R66" s="3" t="s">
        <v>46</v>
      </c>
      <c r="S66" s="135">
        <f>IF(S65&lt;AL58,AS58,IF(S65&lt;AL59,AS59,IF(S65&lt;AL60,AS60,IF(S65&lt;AL61,AS61,IF(S65&lt;AL62,AS62,IF(S65&lt;AL63,AS63,IF(S65&lt;AL64,AS64,IF(S65&lt;AL65,AS65,IF(S65&lt;AL66,AS66,AS67)))))))))</f>
        <v>10263.169599999999</v>
      </c>
      <c r="T66" s="135">
        <f>IF(T65&lt;AL58,AT58,IF(T65&lt;AL59,AT59,IF(T65&lt;AL60,AT60,IF(T65&lt;AL61,AT61,IF(T65&lt;AL62,AT62,IF(T65&lt;AL63,AT63,IF(T65&lt;AL64,AT64,IF(T65&lt;AL65,AT65,IF(T65&lt;AL66,AT66,AT67)))))))))</f>
        <v>78161.426500000001</v>
      </c>
      <c r="U66" s="135">
        <f>IF(U65&lt;AL58,AU58,IF(U65&lt;AL59,AU59,IF(U65&lt;AL60,AU60,IF(U65&lt;AL61,AU61,IF(U65&lt;AL62,AU62,IF(U65&lt;AL63,AU63,IF(U65&lt;AL64,AU64,IF(U65&lt;AL65,AU65,IF(U65&lt;AL66,AU66,AU67)))))))))</f>
        <v>9102.9539199999999</v>
      </c>
      <c r="V66" s="135">
        <f>IF(V65&lt;AL58,AV58,IF(V65&lt;AL59,AV59,IF(V65&lt;AL60,AV60,IF(V65&lt;AL61,AV61,IF(V65&lt;AL62,AV62,IF(V65&lt;AL63,AV63,IF(V65&lt;AL64,AV64,IF(V65&lt;AL65,AV65,IF(V65&lt;AL66,AV66,AV67)))))))))</f>
        <v>82266.062019999983</v>
      </c>
      <c r="W66" s="135">
        <f>IF(W65&lt;AL58,AW58,IF(W65&lt;AL59,AW59,IF(W65&lt;AL60,AW60,IF(W65&lt;AL61,AW61,IF(W65&lt;AL62,AW62,IF(W65&lt;AL63,AW63,IF(W65&lt;AL64,AW64,IF(W65&lt;AL65,AW65,IF(W65&lt;AL66,AW66,AW67)))))))))</f>
        <v>10845.2176</v>
      </c>
      <c r="X66" s="135">
        <f>IF(X65&lt;AL58,AX58,IF(X65&lt;AL59,AX59,IF(X65&lt;AL60,AX60,IF(X65&lt;AL61,AX61,IF(X65&lt;AL62,AX62,IF(X65&lt;AL63,AX63,IF(X65&lt;AL64,AX64,IF(X65&lt;AL65,AX65,IF(X65&lt;AL66,AX66,AX67)))))))))</f>
        <v>79189.29849999999</v>
      </c>
      <c r="Y66" s="135">
        <f>IF(Y65&lt;AL58,AY58,IF(Y65&lt;AL59,AY59,IF(Y65&lt;AL60,AY60,IF(Y65&lt;AL61,AY61,IF(Y65&lt;AL62,AY62,IF(Y65&lt;AL63,AY63,IF(Y65&lt;AL64,AY64,IF(Y65&lt;AL65,AY65,IF(Y65&lt;AL66,AY66,AY67)))))))))</f>
        <v>80217.170499999993</v>
      </c>
      <c r="Z66" s="135">
        <f>IF(Z65&lt;AL58,AZ58,IF(Z65&lt;AL59,AZ59,IF(Z65&lt;AL60,AZ60,IF(Z65&lt;AL61,AZ61,IF(Z65&lt;AL62,AZ62,IF(Z65&lt;AL63,AZ63,IF(Z65&lt;AL64,AZ64,IF(Z65&lt;AL65,AZ65,IF(Z65&lt;AL66,AZ66,AZ67)))))))))</f>
        <v>-15257.980499999998</v>
      </c>
      <c r="AA66" s="135">
        <f>IF(AA65&lt;AL58,BA58,IF(AA65&lt;AL59,BA59,IF(AA65&lt;AL60,BA60,IF(AA65&lt;AL61,BA61,IF(AA65&lt;AL62,BA62,IF(AA65&lt;AL63,BA63,IF(AA65&lt;AL64,BA64,IF(AA65&lt;AL65,BA65,IF(AA65&lt;AL66,BA66,BA67)))))))))</f>
        <v>7739.9200364194849</v>
      </c>
      <c r="AB66" s="135">
        <f>IF(AB65&lt;AL58,BB58,IF(AB65&lt;AL59,BB59,IF(AB65&lt;AL60,BB60,IF(AB65&lt;AL61,BB61,IF(AB65&lt;AL62,BB62,IF(AB65&lt;AL63,BB63,IF(AB65&lt;AL64,BB64,IF(AB65&lt;AL65,BB65,IF(AB65&lt;AL66,BB66,BB67)))))))))</f>
        <v>-15257.980499999998</v>
      </c>
      <c r="AC66" s="135">
        <f>IF(AC65&lt;AL58,BC58,IF(AC65&lt;AL59,BC59,IF(AC65&lt;AL60,BC60,IF(AC65&lt;AL61,BC61,IF(AC65&lt;AL62,BC62,IF(AC65&lt;AL63,BC63,IF(AC65&lt;AL64,BC64,IF(AC65&lt;AL65,BC65,IF(AC65&lt;AL66,BC66,BC67)))))))))</f>
        <v>8032.3266000000003</v>
      </c>
      <c r="AD66" s="135">
        <f>IF(AD65&lt;AL58,BD58,IF(AD65&lt;AL59,BD59,IF(AD65&lt;AL60,BD60,IF(AD65&lt;AL61,BD61,IF(AD65&lt;AL62,BD62,IF(AD65&lt;AL63,BD63,IF(AD65&lt;AL64,BD64,IF(AD65&lt;AL65,BD65,IF(AD65&lt;AL66,BD66,BD67)))))))))</f>
        <v>-14674.939314604126</v>
      </c>
      <c r="AE66" s="135">
        <f>IF(AE65&lt;AL58,BE58,IF(AE65&lt;AL59,BE59,IF(AE65&lt;AL60,BE60,IF(AE65&lt;AL61,BE61,IF(AE65&lt;AL62,BE62,IF(AE65&lt;AL63,BE63,IF(AE65&lt;AL64,BE64,IF(AE65&lt;AL65,BE65,IF(AE65&lt;AL66,BE66,BE67)))))))))</f>
        <v>8032.3266000000003</v>
      </c>
      <c r="AF66" s="135" t="e">
        <f>IF(AF65&lt;AL58,BF58,IF(AF65&lt;AL59,BF59,IF(AF65&lt;AL60,BF60,IF(AF65&lt;AL61,BF61,IF(AF65&lt;AL62,BF62,IF(AF65&lt;AL63,BF63,IF(AF65&lt;AL64,BF64,IF(AF65&lt;AL65,BF65,IF(AF65&lt;AL66,BF66,BF67)))))))))</f>
        <v>#VALUE!</v>
      </c>
      <c r="AG66" s="135">
        <f>IF(AG65&lt;AL58,BG58,IF(AG65&lt;AL59,BG59,IF(AG65&lt;AL60,BG60,IF(AG65&lt;AL61,BG61,IF(AG65&lt;AL62,BG62,IF(AG65&lt;AL63,BG63,IF(AG65&lt;AL64,BG64,IF(AG65&lt;AL65,BG65,IF(AG65&lt;AL66,BG66,BG67)))))))))</f>
        <v>78161.426500000001</v>
      </c>
      <c r="AH66" s="135" t="e">
        <f>IF(AH65&lt;AL58,BH58,IF(AH65&lt;AL59,BH59,IF(AH65&lt;AL60,BH60,IF(AH65&lt;AL61,BH61,IF(AH65&lt;AL62,BH62,IF(AH65&lt;AL63,BH63,IF(AH65&lt;AL64,BH64,IF(AH65&lt;AL65,BH65,IF(AH65&lt;AL66,BH66,BH67)))))))))</f>
        <v>#REF!</v>
      </c>
      <c r="AI66" s="135" t="e">
        <f>IF(AI65&lt;AL58,BI58,IF(AI65&lt;AL59,BI59,IF(AI65&lt;AL60,BI60,IF(AI65&lt;AL61,BI61,IF(AI65&lt;AL62,BI62,IF(AI65&lt;AL63,BI63,IF(AI65&lt;AL64,BI64,IF(AI65&lt;AL65,BI65,IF(AI65&lt;AL66,BI66,BI67)))))))))</f>
        <v>#REF!</v>
      </c>
      <c r="AJ66" s="8">
        <f>IF(S65&lt;AL58,AN58,IF(S65&lt;AL59,AN59,IF(S65&lt;AL60,AN60,IF(S65&lt;AL61,AN61,IF(S65&lt;AL62,AN62,IF(S65&lt;AL63,AN63,IF(S65&lt;AL64,AN64,IF(S65&lt;AL65,AN65,IF(S65&lt;AL66,AN66,AN67)))))))))</f>
        <v>4.3900000000000002E-2</v>
      </c>
      <c r="AK66" s="118">
        <f>AL65+1</f>
        <v>150001</v>
      </c>
      <c r="AL66" s="119">
        <v>205842</v>
      </c>
      <c r="AM66" s="120">
        <v>0.45800000000000002</v>
      </c>
      <c r="AN66" s="121">
        <v>0.2868</v>
      </c>
      <c r="AO66" s="122">
        <v>0.39090000000000003</v>
      </c>
      <c r="AP66" s="13">
        <f>AL66-AK66</f>
        <v>55841</v>
      </c>
      <c r="AQ66" s="13">
        <f>AP66*AM66</f>
        <v>25575.178</v>
      </c>
      <c r="AR66" s="97">
        <f>AR64+AQ66</f>
        <v>69124.220499999996</v>
      </c>
      <c r="AS66" s="114">
        <f>AR64+AM66*(S64-AK66)</f>
        <v>-2617.8155000000042</v>
      </c>
      <c r="AT66" s="114">
        <f>AR64+AM66*(T64-AK66)</f>
        <v>77436.004499999995</v>
      </c>
      <c r="AU66" s="115">
        <f>AR65+AM66*(U64-AK66)</f>
        <v>-2094.2674199999965</v>
      </c>
      <c r="AV66" s="115">
        <f>AR65+AM66*(V64-AK66)</f>
        <v>83618.820420000004</v>
      </c>
      <c r="AW66" s="115">
        <f>AR65+AM66*(W64-AK66)</f>
        <v>735.36649999999645</v>
      </c>
      <c r="AX66" s="43">
        <f>AR65+AM66*(X64-AK66)</f>
        <v>80789.186500000011</v>
      </c>
      <c r="AY66" s="115">
        <f>AR65+AM66*(Y64-AK66)</f>
        <v>81734.498500000002</v>
      </c>
      <c r="AZ66" s="115">
        <f>AR65+AM66*(Z64-AK66)</f>
        <v>-22743.5455</v>
      </c>
      <c r="BA66" s="115">
        <f>AR65+AM66*(AA64-AK66)</f>
        <v>-4307.9891174463773</v>
      </c>
      <c r="BB66" s="43">
        <f>AR65+AM66*(AB64-AK66)</f>
        <v>-22743.5455</v>
      </c>
      <c r="BC66" s="43">
        <f>AR65+AM66*(AC64-AK66)</f>
        <v>-4423.5455000000002</v>
      </c>
      <c r="BD66" s="43">
        <f>AR65+AM66*(AD64-AK66)</f>
        <v>-22087.445099726516</v>
      </c>
      <c r="BE66" s="43">
        <f>AR65+AM66*(AE64-AK66)</f>
        <v>-4423.5455000000002</v>
      </c>
      <c r="BF66" s="43" t="e">
        <f>AR65+AM66*(AF64-AK66)</f>
        <v>#VALUE!</v>
      </c>
      <c r="BG66" s="43">
        <f>AR65+AM66*(AG64-AK66)</f>
        <v>79843.874500000005</v>
      </c>
      <c r="BH66" s="43">
        <f>AR65+AM66*(AH64-AK66)</f>
        <v>-22743.5455</v>
      </c>
      <c r="BI66" s="43">
        <f>AR65+AM66*(AI64-AK66)</f>
        <v>-4423.5455000000002</v>
      </c>
      <c r="BJ66" s="115">
        <f>S58*AO66</f>
        <v>0</v>
      </c>
      <c r="BK66" s="115">
        <f>T58*AO66</f>
        <v>0</v>
      </c>
      <c r="BL66" s="115">
        <f>U58*AO66</f>
        <v>0</v>
      </c>
      <c r="BM66" s="115">
        <f>V58*AO66</f>
        <v>0</v>
      </c>
      <c r="BN66" s="115">
        <f>W58*AO66</f>
        <v>0</v>
      </c>
      <c r="BO66" s="115">
        <f>X58*AO66</f>
        <v>0</v>
      </c>
      <c r="BP66" s="43">
        <f>Y58*AO66</f>
        <v>0</v>
      </c>
      <c r="BQ66" s="43">
        <f>Z58*AO66</f>
        <v>39090</v>
      </c>
      <c r="BR66" s="43">
        <f>AA58*AO66</f>
        <v>0</v>
      </c>
      <c r="BS66" s="43">
        <f>AB58*AO66</f>
        <v>39090</v>
      </c>
      <c r="BT66" s="43">
        <f>AC58*AO66</f>
        <v>0</v>
      </c>
      <c r="BU66" s="43">
        <f>AD58*AO66</f>
        <v>39090</v>
      </c>
      <c r="BV66" s="43">
        <f>AE58*AO66</f>
        <v>0</v>
      </c>
      <c r="BW66" s="43">
        <f>AF58*AO66</f>
        <v>0</v>
      </c>
      <c r="BX66" s="43">
        <f>AG58*AO66</f>
        <v>134469.6</v>
      </c>
      <c r="BY66" s="43" t="e">
        <f>AH58*AO66</f>
        <v>#REF!</v>
      </c>
      <c r="BZ66" s="43" t="e">
        <f>AI58*AO66</f>
        <v>#REF!</v>
      </c>
      <c r="CA66" s="44">
        <f>AN66*S60</f>
        <v>0</v>
      </c>
      <c r="CB66" s="44">
        <f>AN66*T60</f>
        <v>0</v>
      </c>
      <c r="CC66" s="44">
        <f>AN66*U60</f>
        <v>1983.0499199999999</v>
      </c>
      <c r="CD66" s="44">
        <f>AN66*V60</f>
        <v>0</v>
      </c>
      <c r="CE66" s="44">
        <f>AN66*W60</f>
        <v>991.52495999999996</v>
      </c>
      <c r="CF66" s="44">
        <f>AN66*X60</f>
        <v>991.52495999999996</v>
      </c>
      <c r="CG66" s="44">
        <f>AN66*Y60</f>
        <v>1983.0499199999999</v>
      </c>
      <c r="CH66" s="44">
        <f>AN66*Z60</f>
        <v>0</v>
      </c>
      <c r="CI66" s="44">
        <f>AN66*AA60</f>
        <v>2861.5911883746453</v>
      </c>
      <c r="CJ66" s="44">
        <f>AN66*AB60</f>
        <v>0</v>
      </c>
      <c r="CK66" s="44">
        <f>AN66*AC60</f>
        <v>0</v>
      </c>
      <c r="CL66" s="44">
        <f>AN66*AD60</f>
        <v>829.95959172469452</v>
      </c>
      <c r="CM66" s="44">
        <f>AN66*AE60</f>
        <v>0</v>
      </c>
      <c r="CN66" s="44">
        <f>AN66*AF60</f>
        <v>0</v>
      </c>
      <c r="CO66" s="44">
        <f>AN66*AG60</f>
        <v>0</v>
      </c>
      <c r="CP66" s="44">
        <f>AN66*AH60</f>
        <v>0</v>
      </c>
      <c r="CQ66" s="44">
        <f>AN66*AI60</f>
        <v>1.2350260382406667E-2</v>
      </c>
    </row>
    <row r="67" spans="1:116" ht="15" customHeight="1" x14ac:dyDescent="0.25">
      <c r="A67" s="46"/>
      <c r="B67" s="407" t="s">
        <v>265</v>
      </c>
      <c r="C67" s="410">
        <f t="shared" si="60"/>
        <v>427818.02573664393</v>
      </c>
      <c r="D67" s="414">
        <f t="shared" si="61"/>
        <v>292662.47976813419</v>
      </c>
      <c r="E67" s="414">
        <f t="shared" si="62"/>
        <v>8599.1423173065432</v>
      </c>
      <c r="F67" s="418">
        <f t="shared" si="63"/>
        <v>5133.8163088397278</v>
      </c>
      <c r="G67" s="422">
        <f t="shared" si="64"/>
        <v>21390.901286832199</v>
      </c>
      <c r="H67" s="426">
        <f t="shared" si="65"/>
        <v>4.8423900000000002E-3</v>
      </c>
      <c r="I67" s="426">
        <f t="shared" si="66"/>
        <v>4.0204009567815571E-2</v>
      </c>
      <c r="J67" s="401">
        <f t="shared" si="67"/>
        <v>4.5046399567815573E-2</v>
      </c>
      <c r="K67" s="145"/>
      <c r="L67" s="405">
        <v>9</v>
      </c>
      <c r="M67" s="560">
        <f>G128-D97</f>
        <v>100748.98926829064</v>
      </c>
      <c r="N67" s="89">
        <f>F97-D97</f>
        <v>135155.54596850974</v>
      </c>
      <c r="O67" s="46"/>
      <c r="P67" s="46"/>
      <c r="Q67" s="2"/>
      <c r="R67" s="3" t="s">
        <v>70</v>
      </c>
      <c r="S67">
        <f>IF(S65&lt;AL58,BJ58,IF(S65&lt;AL59,BJ59,IF(S65&lt;AL60,BJ60,IF(S65&lt;AL61,BJ61,IF(S65&lt;AL62,BJ62,IF(S65&lt;AL63,BJ63,IF(S65&lt;AL64,BJ64,IF(S65&lt;AL65,BJ65,IF(S65&lt;AL66,BJ66,BJ67)))))))))</f>
        <v>0</v>
      </c>
      <c r="T67">
        <f>IF(T65&lt;AL58,BK58,IF(T65&lt;AL59,BK59,IF(T65&lt;AL60,BK60,IF(T65&lt;AL61,BK61,IF(T65&lt;AL62,BK62,IF(T65&lt;AL63,BK63,IF(T65&lt;AL64,BK64,IF(T65&lt;AL65,BK65,IF(T65&lt;AL66,BK66,BK67)))))))))</f>
        <v>0</v>
      </c>
      <c r="U67">
        <f>IF(U65&lt;AL58,BL58,IF(U65&lt;AL59,BL59,IF(U65&lt;AL60,BL60,IF(U65&lt;AL61,BL61,IF(U65&lt;AL62,BL62,IF(U65&lt;AL63,BL63,IF(U65&lt;AL64,BL64,IF(U65&lt;AL65,BL65,IF(U65&lt;AL66,BL66,BL67)))))))))</f>
        <v>0</v>
      </c>
      <c r="V67">
        <f>IF(V65&lt;AL58,BM58,IF(V65&lt;AL59,BM59,IF(V65&lt;AL60,BM60,IF(V65&lt;AL61,BM61,IF(V65&lt;AL62,BM62,IF(V65&lt;AL63,BM63,IF(V65&lt;AL64,BM64,IF(V65&lt;AL65,BM65,IF(V65&lt;AL66,BM66,BM67)))))))))</f>
        <v>0</v>
      </c>
      <c r="W67" s="2">
        <f>IF(W65&lt;AL58,BN58,IF(W65&lt;AL59,BN59,IF(W65&lt;AL60,BN60,IF(W65&lt;AL61,BN61,IF(W65&lt;AL62,BN62,IF(W65&lt;AL63,BN63,IF(W65&lt;AL64,BN64,IF(W65&lt;AL65,BN65,IF(W65&lt;AL66,BN66,BN67)))))))))</f>
        <v>0</v>
      </c>
      <c r="X67" s="2">
        <f>IF(X65&lt;AL58,BO58,IF(X65&lt;AL59,BO59,IF(X65&lt;AL60,BO60,IF(X65&lt;AL61,BO61,IF(X65&lt;AL62,BO62,IF(X65&lt;AL63,BO63,IF(X65&lt;AL64,BO64,IF(X65&lt;AL65,BO65,IF(X65&lt;AL66,BO66,BO67)))))))))</f>
        <v>0</v>
      </c>
      <c r="Y67" s="2">
        <f>IF(Y65&lt;AL58,BP58,IF(Y65&lt;AL59,BP59,IF(Y65&lt;AL60,BP60,IF(Y65&lt;AL61,BP61,IF(Y65&lt;AL62,BP62,IF(Y65&lt;AL63,BP63,IF(Y65&lt;AL64,BP64,IF(Y65&lt;AL65,BP65,IF(Y65&lt;AL66,BP66,BP67)))))))))</f>
        <v>0</v>
      </c>
      <c r="Z67" s="2">
        <f>IF(Z65&lt;AL58,BQ58,IF(Z65&lt;AL59,BQ59,IF(Z65&lt;AL60,BQ60,IF(Z65&lt;AL61,BQ61,IF(Z65&lt;AL62,BQ62,IF(Z65&lt;AL63,BQ63,IF(Z65&lt;AL64,BQ64,IF(Z65&lt;AL65,BQ65,IF(Z65&lt;AL66,BQ66,BQ67)))))))))</f>
        <v>33180</v>
      </c>
      <c r="AA67" s="2">
        <f>IF(AA65&lt;AL58,BR58,IF(AA65&lt;AL59,BR59,IF(AA65&lt;AL60,BR60,IF(AA65&lt;AL61,BR61,IF(AA65&lt;AL62,BR62,IF(AA65&lt;AL63,BR63,IF(AA65&lt;AL64,BR64,IF(AA65&lt;AL65,BR65,IF(AA65&lt;AL66,BR66,BR67)))))))))</f>
        <v>0</v>
      </c>
      <c r="AB67" s="2">
        <f>IF(AB65&lt;AL58,BS58,IF(AB65&lt;AL59,BS59,IF(AB65&lt;AL60,BS60,IF(AB65&lt;AL61,BS61,IF(AB65&lt;AL62,BS62,IF(AB65&lt;AL63,BS63,IF(AB65&lt;AL64,BS64,IF(AB65&lt;AL65,BS65,IF(AB65&lt;AL66,BS66,BS67)))))))))</f>
        <v>33180</v>
      </c>
      <c r="AC67" s="2">
        <f>IF(AC65&lt;AL58,BT58,IF(AC65&lt;AL59,BT59,IF(AC65&lt;AL60,BT60,IF(AC65&lt;AL61,BT61,IF(AC65&lt;AL62,BT62,IF(AC65&lt;AL63,BT63,IF(AC65&lt;AL64,BT64,IF(AC65&lt;AL65,BT65,IF(AC65&lt;AL66,BT66,BT67)))))))))</f>
        <v>0</v>
      </c>
      <c r="AD67" s="2">
        <f>IF(AD65&lt;AL58,BU58,IF(AD65&lt;AL59,BU59,IF(AD65&lt;AL60,BU60,IF(AD65&lt;AL61,BU61,IF(AD65&lt;AL62,BU62,IF(AD65&lt;AL63,BU63,IF(AD65&lt;AL64,BU64,IF(AD65&lt;AL65,BU65,IF(AD65&lt;AL66,BU66,BU67)))))))))</f>
        <v>33180</v>
      </c>
      <c r="AE67" s="2">
        <f>IF(AE65&lt;AL58,BV58,IF(AE65&lt;AL59,BV59,IF(AE65&lt;AL60,BV60,IF(AE65&lt;AL61,BV61,IF(AE65&lt;AL62,BV62,IF(AE65&lt;AL63,BV63,IF(AE65&lt;AL64,BV64,IF(AE65&lt;AL65,BV65,IF(AE65&lt;AL66,BV66,BV67)))))))))</f>
        <v>0</v>
      </c>
      <c r="AF67" s="2" t="e">
        <f>IF(AF65&lt;AL58,BW58,IF(AF65&lt;AL59,BW59,IF(AF65&lt;AL60,BW60,IF(AF65&lt;AL61,BW61,IF(AF65&lt;AL62,BW62,IF(AF65&lt;AL63,BW63,IF(AF65&lt;AL64,BW64,IF(AF65&lt;AL65,BW65,IF(AF65&lt;AL66,BW66,BW67)))))))))</f>
        <v>#VALUE!</v>
      </c>
      <c r="AG67" s="2">
        <f>IF(AG65&lt;AL58,BX58,IF(AG65&lt;AL59,BX59,IF(AG65&lt;AL60,BX60,IF(AG65&lt;AL61,BX61,IF(AG65&lt;AL62,BX62,IF(AG65&lt;AL63,BX63,IF(AG65&lt;AL64,BX64,IF(AG65&lt;AL65,BX65,IF(AG65&lt;AL66,BX66,BX67)))))))))</f>
        <v>150431.20000000001</v>
      </c>
      <c r="AH67" s="2" t="e">
        <f>IF(AH65&lt;AL58,BY58,IF(AH65&lt;AL59,BY59,IF(AH65&lt;AL60,BY60,IF(AH65&lt;AL61,BY61,IF(AH65&lt;AL62,BY62,IF(AH65&lt;AL63,BY63,IF(AH65&lt;AL64,BY64,IF(AH65&lt;AL65,BY65,IF(AH65&lt;AL66,BY66,BY67)))))))))</f>
        <v>#REF!</v>
      </c>
      <c r="AI67" s="2" t="e">
        <f>IF(AI65&lt;AL58,BZ58,IF(AI65&lt;AL59,BZ59,IF(AI65&lt;AL60,BZ60,IF(AI65&lt;AL61,BZ61,IF(AI65&lt;AL62,BZ62,IF(AI65&lt;AL63,BZ63,IF(AI65&lt;AL64,BZ64,IF(AI65&lt;AL65,BZ65,IF(AI65&lt;AL66,BZ66,BZ67)))))))))</f>
        <v>#REF!</v>
      </c>
      <c r="AJ67" t="s">
        <v>77</v>
      </c>
      <c r="AK67" s="67">
        <f>AL66+1</f>
        <v>205843</v>
      </c>
      <c r="AL67" s="123">
        <v>303901</v>
      </c>
      <c r="AM67" s="111">
        <v>0.498</v>
      </c>
      <c r="AN67" s="112">
        <v>0.34200000000000003</v>
      </c>
      <c r="AO67" s="113">
        <v>0.43730000000000002</v>
      </c>
      <c r="AP67" s="13"/>
      <c r="AQ67" s="13"/>
      <c r="AR67" s="97"/>
      <c r="AS67" s="114">
        <f>AR66+AM67*(S64-AK67)</f>
        <v>-8883.9934999999969</v>
      </c>
      <c r="AT67" s="114">
        <f>AR66+AM67*(T64-AK67)</f>
        <v>78161.426500000001</v>
      </c>
      <c r="AU67" s="115">
        <f>AR66+AM67*(U64-AK67)</f>
        <v>-10932.885020000002</v>
      </c>
      <c r="AV67" s="115">
        <f>AR66+AM67*(V64-AK67)</f>
        <v>82266.062019999983</v>
      </c>
      <c r="AW67" s="115">
        <f>AR66+AM67*(W64-AK67)</f>
        <v>-7856.1215000000084</v>
      </c>
      <c r="AX67" s="43">
        <f>AR66+AM67*(X64-AK67)</f>
        <v>79189.29849999999</v>
      </c>
      <c r="AY67" s="115">
        <f>AR66+AM67*(Y64-AK67)</f>
        <v>80217.170499999993</v>
      </c>
      <c r="AZ67" s="115">
        <f>AR66+AM67*(Z64-AK67)</f>
        <v>-33385.593500000003</v>
      </c>
      <c r="BA67" s="115">
        <f>AR66+AM67*(AA64-AK67)</f>
        <v>-13339.944856961345</v>
      </c>
      <c r="BB67" s="43">
        <f>AR66+AM67*(AB64-AK67)</f>
        <v>-33385.593500000003</v>
      </c>
      <c r="BC67" s="43">
        <f>AR66+AM67*(AC64-AK67)</f>
        <v>-13465.593500000003</v>
      </c>
      <c r="BD67" s="43">
        <f>AR66+AM67*(AD64-AK67)</f>
        <v>-32672.191754724467</v>
      </c>
      <c r="BE67" s="43">
        <f>AR66+AM67*(AE64-AK67)</f>
        <v>-13465.593500000003</v>
      </c>
      <c r="BF67" s="43" t="e">
        <f>AR66+AM67*(AF64-AK67)</f>
        <v>#VALUE!</v>
      </c>
      <c r="BG67" s="43">
        <f>AR66+AM67*(AG64-AK67)</f>
        <v>78161.426500000001</v>
      </c>
      <c r="BH67" s="43">
        <f>AR66+AM67*(AH64-AK67)</f>
        <v>-33385.593500000003</v>
      </c>
      <c r="BI67" s="43">
        <f>AR66+AM67*(AI64-AK67)</f>
        <v>-13465.593500000003</v>
      </c>
      <c r="BJ67" s="115">
        <f>S58*AO67</f>
        <v>0</v>
      </c>
      <c r="BK67" s="115">
        <f>T58*AO67</f>
        <v>0</v>
      </c>
      <c r="BL67" s="115">
        <f>U58*AO67</f>
        <v>0</v>
      </c>
      <c r="BM67" s="115">
        <f>V58*AO67</f>
        <v>0</v>
      </c>
      <c r="BN67" s="115">
        <f>W58*AO67</f>
        <v>0</v>
      </c>
      <c r="BO67" s="115">
        <f>X58*AO67</f>
        <v>0</v>
      </c>
      <c r="BP67" s="43">
        <f>Y58*AO67</f>
        <v>0</v>
      </c>
      <c r="BQ67" s="43">
        <f>Z58*AO67</f>
        <v>43730</v>
      </c>
      <c r="BR67" s="43">
        <f>AA58*AO67</f>
        <v>0</v>
      </c>
      <c r="BS67" s="43">
        <f>AB58*AO67</f>
        <v>43730</v>
      </c>
      <c r="BT67" s="43">
        <f>AC58*AO67</f>
        <v>0</v>
      </c>
      <c r="BU67" s="43">
        <f>AD58*AO67</f>
        <v>43730</v>
      </c>
      <c r="BV67" s="43">
        <f>AE58*AO67</f>
        <v>0</v>
      </c>
      <c r="BW67" s="43">
        <f>AF58*AO67</f>
        <v>0</v>
      </c>
      <c r="BX67" s="43">
        <f>AG58*AO67</f>
        <v>150431.20000000001</v>
      </c>
      <c r="BY67" s="43" t="e">
        <f>AH58*AO67</f>
        <v>#REF!</v>
      </c>
      <c r="BZ67" s="43" t="e">
        <f>AI58*AO67</f>
        <v>#REF!</v>
      </c>
      <c r="CA67" s="44">
        <f>AN67*S60</f>
        <v>0</v>
      </c>
      <c r="CB67" s="44">
        <f>AN67*T60</f>
        <v>0</v>
      </c>
      <c r="CC67" s="44">
        <f>AN67*U60</f>
        <v>2364.7248</v>
      </c>
      <c r="CD67" s="44">
        <f>AN67*V60</f>
        <v>0</v>
      </c>
      <c r="CE67" s="44">
        <f>AN67*W60</f>
        <v>1182.3624</v>
      </c>
      <c r="CF67" s="44">
        <f>AN67*X60</f>
        <v>1182.3624</v>
      </c>
      <c r="CG67" s="44">
        <f>AN67*Y60</f>
        <v>2364.7248</v>
      </c>
      <c r="CH67" s="44">
        <f>AN67*Z60</f>
        <v>0</v>
      </c>
      <c r="CI67" s="44">
        <f>AN67*AA60</f>
        <v>3412.3576932501001</v>
      </c>
      <c r="CJ67" s="44">
        <f>AN67*AB60</f>
        <v>0</v>
      </c>
      <c r="CK67" s="44">
        <f>AN67*AC60</f>
        <v>0</v>
      </c>
      <c r="CL67" s="44">
        <f>AN67*AD60</f>
        <v>989.7007683746358</v>
      </c>
      <c r="CM67" s="44">
        <f>AN67*AE60</f>
        <v>0</v>
      </c>
      <c r="CN67" s="44">
        <f>AN67*AF60</f>
        <v>0</v>
      </c>
      <c r="CO67" s="44">
        <f>AN67*AG60</f>
        <v>0</v>
      </c>
      <c r="CP67" s="44">
        <f>AN67*AH60</f>
        <v>0</v>
      </c>
      <c r="CQ67" s="44">
        <f>AN67*AI60</f>
        <v>1.4727297945547699E-2</v>
      </c>
    </row>
    <row r="68" spans="1:116" ht="15" customHeight="1" x14ac:dyDescent="0.25">
      <c r="A68" s="46"/>
      <c r="B68" s="406" t="s">
        <v>266</v>
      </c>
      <c r="C68" s="411">
        <f t="shared" si="60"/>
        <v>435113.86340524262</v>
      </c>
      <c r="D68" s="415">
        <f t="shared" si="61"/>
        <v>286809.23017277149</v>
      </c>
      <c r="E68" s="415">
        <f t="shared" si="62"/>
        <v>8745.7886544453759</v>
      </c>
      <c r="F68" s="419">
        <f t="shared" si="63"/>
        <v>5221.3663608629113</v>
      </c>
      <c r="G68" s="423">
        <f t="shared" si="64"/>
        <v>21755.693170262133</v>
      </c>
      <c r="H68" s="427">
        <f t="shared" si="65"/>
        <v>4.8423899999999994E-3</v>
      </c>
      <c r="I68" s="427">
        <f t="shared" si="66"/>
        <v>3.9529882742395654E-2</v>
      </c>
      <c r="J68" s="402">
        <f t="shared" si="67"/>
        <v>4.4372272742395656E-2</v>
      </c>
      <c r="K68" s="46"/>
      <c r="L68" s="557">
        <v>10</v>
      </c>
      <c r="M68" s="561">
        <f>G129-D98</f>
        <v>108195.13493274245</v>
      </c>
      <c r="N68" s="552">
        <f>F98-D98</f>
        <v>148304.63323247113</v>
      </c>
      <c r="O68" s="46"/>
      <c r="P68" s="46"/>
      <c r="Q68" s="2"/>
      <c r="R68" s="3" t="s">
        <v>49</v>
      </c>
      <c r="S68" s="66">
        <f t="shared" ref="S68:AH68" si="85">CA69</f>
        <v>0</v>
      </c>
      <c r="T68" s="66">
        <f t="shared" si="85"/>
        <v>0</v>
      </c>
      <c r="U68" s="66">
        <f t="shared" si="85"/>
        <v>303.54215999999997</v>
      </c>
      <c r="V68" s="66">
        <f t="shared" si="85"/>
        <v>0</v>
      </c>
      <c r="W68" s="66">
        <f t="shared" si="85"/>
        <v>151.77107999999998</v>
      </c>
      <c r="X68" s="66">
        <f t="shared" si="85"/>
        <v>1182.3624</v>
      </c>
      <c r="Y68" s="66">
        <f t="shared" si="85"/>
        <v>2364.7248</v>
      </c>
      <c r="Z68" s="130">
        <f t="shared" si="85"/>
        <v>0</v>
      </c>
      <c r="AA68" s="130">
        <f t="shared" si="85"/>
        <v>438.0190138411678</v>
      </c>
      <c r="AB68" s="130">
        <f t="shared" si="85"/>
        <v>0</v>
      </c>
      <c r="AC68" s="130">
        <f t="shared" si="85"/>
        <v>0</v>
      </c>
      <c r="AD68" s="130">
        <f t="shared" si="85"/>
        <v>626.2317142581029</v>
      </c>
      <c r="AE68" s="130">
        <f t="shared" si="85"/>
        <v>0</v>
      </c>
      <c r="AF68" s="130" t="e">
        <f t="shared" si="85"/>
        <v>#VALUE!</v>
      </c>
      <c r="AG68" s="130">
        <f t="shared" si="85"/>
        <v>0</v>
      </c>
      <c r="AH68" s="130" t="e">
        <f t="shared" si="85"/>
        <v>#REF!</v>
      </c>
      <c r="AI68" s="130" t="e">
        <f>CQ69</f>
        <v>#REF!</v>
      </c>
      <c r="AJ68" t="e">
        <f>IF(#REF!&lt;AL58,AM58,IF(#REF!&lt;AL59,AM59,IF(#REF!&lt;AL60,AM60,IF(#REF!&lt;AL61,AM61,IF(#REF!&lt;AL62,AM62,IF(#REF!&lt;AL63,AM63,IF(#REF!&lt;AL64,AM64,IF(#REF!&lt;AL65,AM65,IF(#REF!&lt;AL66,AM66,AM67)))))))))</f>
        <v>#REF!</v>
      </c>
      <c r="AK68" s="67"/>
      <c r="AL68" s="68">
        <v>303901</v>
      </c>
      <c r="AM68" s="111">
        <v>0.498</v>
      </c>
      <c r="AN68" s="112">
        <v>0.34200000000000003</v>
      </c>
      <c r="AO68" s="113">
        <v>0.43730000000000002</v>
      </c>
      <c r="AP68" s="13"/>
      <c r="AQ68" s="13"/>
      <c r="AR68" s="97"/>
      <c r="AS68" s="114"/>
      <c r="AT68" s="114"/>
      <c r="AU68" s="115">
        <f>AR67+AM68*(U64-AK68)</f>
        <v>22452.708480000001</v>
      </c>
      <c r="AV68" s="115">
        <f>AR67+AM68*(V64-AK68)</f>
        <v>115651.65552</v>
      </c>
      <c r="AW68" s="115">
        <f>AR67+AM68*(W64-AK68)</f>
        <v>25529.472000000002</v>
      </c>
      <c r="AX68" s="43">
        <f>AR67+AM68*(X64-AK68)</f>
        <v>112574.89199999999</v>
      </c>
      <c r="AY68" s="115">
        <f>AR67+AM68*(Y64-AK68)</f>
        <v>113602.764</v>
      </c>
      <c r="AZ68" s="115">
        <f>AR67+AM68*(Z64-AK68)</f>
        <v>0</v>
      </c>
      <c r="BA68" s="115">
        <f>AR67+AM68*(AA64-AK68)</f>
        <v>20045.648643038665</v>
      </c>
      <c r="BB68" s="43">
        <f>AR67+AM68*(AB64-AK68)</f>
        <v>0</v>
      </c>
      <c r="BC68" s="43">
        <f>AR67+AM68*(AC64-AK68)</f>
        <v>19920</v>
      </c>
      <c r="BD68" s="43">
        <f>AR67+AM68*(AD64-AK68)</f>
        <v>713.40174527554598</v>
      </c>
      <c r="BE68" s="43">
        <f>AR67+AM68*(AE64-AK68)</f>
        <v>19920</v>
      </c>
      <c r="BF68" s="43" t="e">
        <f>AR67+AM68*(AF64-AK68)</f>
        <v>#VALUE!</v>
      </c>
      <c r="BG68" s="43">
        <f>AR67+AM68*(AG64-AK68)</f>
        <v>111547.02</v>
      </c>
      <c r="BH68" s="43">
        <f>AR67+AM68*(AH64-AK68)</f>
        <v>0</v>
      </c>
      <c r="BI68" s="43">
        <f>AR67+AM68*(AI64-AK68)</f>
        <v>19920</v>
      </c>
      <c r="BJ68" s="115">
        <f>S58*AO68</f>
        <v>0</v>
      </c>
      <c r="BK68" s="115">
        <f>T58*AO68</f>
        <v>0</v>
      </c>
      <c r="BL68" s="115">
        <f>U58*AO68</f>
        <v>0</v>
      </c>
      <c r="BM68" s="115">
        <f>V58*AO68</f>
        <v>0</v>
      </c>
      <c r="BN68" s="115">
        <f>W58*AO68</f>
        <v>0</v>
      </c>
      <c r="BO68" s="115">
        <f>X58*AO68</f>
        <v>0</v>
      </c>
      <c r="BP68" s="43">
        <f>Y58*AO68</f>
        <v>0</v>
      </c>
      <c r="BQ68" s="43">
        <f>Z58*AO68</f>
        <v>43730</v>
      </c>
      <c r="BR68" s="43">
        <f>AA58*AO68</f>
        <v>0</v>
      </c>
      <c r="BS68" s="43">
        <f>AB58*AO68</f>
        <v>43730</v>
      </c>
      <c r="BT68" s="43">
        <f>AC58*AO68</f>
        <v>0</v>
      </c>
      <c r="BU68" s="43">
        <f>AD58*AO68</f>
        <v>43730</v>
      </c>
      <c r="BV68" s="43">
        <f>AE58*AO68</f>
        <v>0</v>
      </c>
      <c r="BW68" s="43">
        <f>AF58*AO68</f>
        <v>0</v>
      </c>
      <c r="BX68" s="43">
        <f>AG58*AO68</f>
        <v>150431.20000000001</v>
      </c>
      <c r="BY68" s="43" t="e">
        <f>AH58*AO68</f>
        <v>#REF!</v>
      </c>
      <c r="BZ68" s="43" t="e">
        <f>AI58*AO68</f>
        <v>#REF!</v>
      </c>
      <c r="CA68" s="44">
        <f>AN68*S60</f>
        <v>0</v>
      </c>
      <c r="CB68" s="44">
        <f>AN68*T60</f>
        <v>0</v>
      </c>
      <c r="CC68" s="44">
        <f>AN68*U60</f>
        <v>2364.7248</v>
      </c>
      <c r="CD68" s="44">
        <f>AN68*V60</f>
        <v>0</v>
      </c>
      <c r="CE68" s="44">
        <f>AN68*W60</f>
        <v>1182.3624</v>
      </c>
      <c r="CF68" s="44">
        <f>AN68*X60</f>
        <v>1182.3624</v>
      </c>
      <c r="CG68" s="44">
        <f>AN68*Y60</f>
        <v>2364.7248</v>
      </c>
      <c r="CH68" s="44">
        <f>AN68*Z60</f>
        <v>0</v>
      </c>
      <c r="CI68" s="44">
        <f>AN68*AA60</f>
        <v>3412.3576932501001</v>
      </c>
      <c r="CJ68" s="44">
        <f>AN68*AB60</f>
        <v>0</v>
      </c>
      <c r="CK68" s="44">
        <f>AN68*AC60</f>
        <v>0</v>
      </c>
      <c r="CL68" s="44">
        <f>AN68*AD60</f>
        <v>989.7007683746358</v>
      </c>
      <c r="CM68" s="44">
        <f>AN68*AE60</f>
        <v>0</v>
      </c>
      <c r="CN68" s="44">
        <f>AN68*AF60</f>
        <v>0</v>
      </c>
      <c r="CO68" s="44">
        <f>AN68*AG60</f>
        <v>0</v>
      </c>
      <c r="CP68" s="44">
        <f>AN68*AH60</f>
        <v>0</v>
      </c>
      <c r="CQ68" s="44">
        <f>AN68*AI60</f>
        <v>1.4727297945547699E-2</v>
      </c>
    </row>
    <row r="69" spans="1:116" ht="15" customHeight="1" x14ac:dyDescent="0.25">
      <c r="A69" s="46"/>
      <c r="B69" s="407" t="s">
        <v>267</v>
      </c>
      <c r="C69" s="410">
        <f t="shared" si="60"/>
        <v>442827.44330169325</v>
      </c>
      <c r="D69" s="414">
        <f t="shared" si="61"/>
        <v>281073.04556931608</v>
      </c>
      <c r="E69" s="414">
        <f t="shared" si="62"/>
        <v>8900.8316103640336</v>
      </c>
      <c r="F69" s="418">
        <f t="shared" si="63"/>
        <v>5313.9293196203189</v>
      </c>
      <c r="G69" s="422">
        <f t="shared" si="64"/>
        <v>22141.372165084664</v>
      </c>
      <c r="H69" s="426">
        <f t="shared" si="65"/>
        <v>4.8423900000000002E-3</v>
      </c>
      <c r="I69" s="426">
        <f t="shared" si="66"/>
        <v>4.6609577414871747E-2</v>
      </c>
      <c r="J69" s="401">
        <f t="shared" si="67"/>
        <v>5.1451967414871749E-2</v>
      </c>
      <c r="K69" s="46"/>
      <c r="L69" s="405">
        <v>11</v>
      </c>
      <c r="M69" s="560">
        <f>G130-D99</f>
        <v>115600.30675318505</v>
      </c>
      <c r="N69" s="89">
        <f>F99-D99</f>
        <v>161754.39773237717</v>
      </c>
      <c r="O69" s="46"/>
      <c r="P69" s="46"/>
      <c r="Q69" s="2"/>
      <c r="R69" s="3" t="s">
        <v>73</v>
      </c>
      <c r="S69" s="135"/>
      <c r="T69" s="97">
        <f>S70-T70</f>
        <v>-67898.256900000008</v>
      </c>
      <c r="U69" s="85">
        <f>U70-S70</f>
        <v>-856.67351999999846</v>
      </c>
      <c r="V69" s="85">
        <f>V70-T70</f>
        <v>4104.6355199999816</v>
      </c>
      <c r="W69" s="85">
        <f>W70-S70</f>
        <v>733.81908000000203</v>
      </c>
      <c r="X69" s="85">
        <f>X70-T70</f>
        <v>2210.2343999999866</v>
      </c>
      <c r="Y69" s="85">
        <f>Y70-T70</f>
        <v>4420.4687999999878</v>
      </c>
      <c r="Z69" s="142">
        <f t="shared" ref="Z69:AE69" si="86">Z70-W70</f>
        <v>6925.0308200000018</v>
      </c>
      <c r="AA69" s="142">
        <f t="shared" si="86"/>
        <v>-72193.721849739333</v>
      </c>
      <c r="AB69" s="142">
        <f t="shared" si="86"/>
        <v>-64659.875799999987</v>
      </c>
      <c r="AC69" s="142">
        <f t="shared" si="86"/>
        <v>-9889.6929000000018</v>
      </c>
      <c r="AD69" s="142">
        <f t="shared" si="86"/>
        <v>10953.353349393325</v>
      </c>
      <c r="AE69" s="142">
        <f t="shared" si="86"/>
        <v>-9889.6929000000018</v>
      </c>
      <c r="AF69" s="85" t="e">
        <f>AF70-S70</f>
        <v>#VALUE!</v>
      </c>
      <c r="AG69" s="85">
        <f>AG70-T70</f>
        <v>150431.20000000001</v>
      </c>
      <c r="AH69" s="85" t="e">
        <f>AH70-U70</f>
        <v>#REF!</v>
      </c>
      <c r="AI69" s="85" t="e">
        <f>AI70-V70</f>
        <v>#REF!</v>
      </c>
      <c r="AJ69" t="s">
        <v>51</v>
      </c>
      <c r="AK69" s="67"/>
      <c r="AL69" s="68">
        <v>303901</v>
      </c>
      <c r="AM69" s="111">
        <v>0.498</v>
      </c>
      <c r="AN69" s="112">
        <v>0.34200000000000003</v>
      </c>
      <c r="AO69" s="113">
        <v>0.43730000000000002</v>
      </c>
      <c r="AP69" s="13"/>
      <c r="AQ69" s="13"/>
      <c r="AR69" s="97"/>
      <c r="AS69" s="114"/>
      <c r="AT69" s="114"/>
      <c r="AU69" s="114"/>
      <c r="AV69" s="114"/>
      <c r="AW69" s="114"/>
      <c r="AX69" s="114"/>
      <c r="AY69" s="114"/>
      <c r="AZ69" s="114"/>
      <c r="BA69" s="114"/>
      <c r="BB69" s="114"/>
      <c r="BC69" s="114"/>
      <c r="BD69" s="114"/>
      <c r="BE69" s="114"/>
      <c r="BF69" s="114"/>
      <c r="BG69" s="114"/>
      <c r="BH69" s="114"/>
      <c r="BI69" s="114"/>
      <c r="BJ69" s="114"/>
      <c r="BK69" s="114"/>
      <c r="BL69" s="114"/>
      <c r="BM69" s="114"/>
      <c r="BN69" s="114"/>
      <c r="BO69" s="114"/>
      <c r="BP69" s="114"/>
      <c r="BQ69" s="114"/>
      <c r="BR69" s="114"/>
      <c r="BS69" s="114"/>
      <c r="BT69" s="114"/>
      <c r="BU69" s="114"/>
      <c r="BV69" s="114"/>
      <c r="BW69" s="114"/>
      <c r="BX69" s="114"/>
      <c r="BY69" s="114"/>
      <c r="BZ69" s="114"/>
      <c r="CA69" s="44">
        <f>IF(S65&lt;AL58,CA58,IF(S65&lt;AL59,CA59,IF(S65&lt;AL60,CA60,IF(S65&lt;AL61,CA61,IF(S65&lt;AL62,CA62,IF(S65&lt;AL63,CA63,IF(S65&lt;AL64,CA64,IF(S65&lt;AL65,CA65,IF(S65&lt;AL66,CA66,CA67)))))))))</f>
        <v>0</v>
      </c>
      <c r="CB69" s="44">
        <f>IF(T65&lt;AL58,CB58,IF(T65&lt;AL59,CB59,IF(T65&lt;AL60,CB60,IF(T65&lt;AL61,CB61,IF(T65&lt;AL62,CB62,IF(T65&lt;AL63,CB63,IF(T65&lt;AL64,CB64,IF(T65&lt;AL65,CB65,IF(T65&lt;AL66,CB66,CB67)))))))))</f>
        <v>0</v>
      </c>
      <c r="CC69" s="44">
        <f>IF(U65&lt;AL58,CC58,IF(U65&lt;AL59,CC59,IF(U65&lt;AL60,CC60,IF(U65&lt;AL61,CC61,IF(U65&lt;AL62,CC62,IF(U65&lt;AL63,CC63,IF(U65&lt;AL64,CC64,IF(U65&lt;AL65,CC65,IF(U65&lt;AL66,CC66,CC67)))))))))</f>
        <v>303.54215999999997</v>
      </c>
      <c r="CD69" s="44">
        <f>IF(V65&lt;AL58,CD58,IF(V65&lt;AL59,CD59,IF(V65&lt;AL60,CD60,IF(V65&lt;AL61,CD61,IF(V65&lt;AL62,CD62,IF(V65&lt;AL63,CD63,IF(V65&lt;AL64,CD64,IF(V65&lt;AL65,CD65,IF(V65&lt;AL66,CD66,CD67)))))))))</f>
        <v>0</v>
      </c>
      <c r="CE69" s="44">
        <f>IF(W65&lt;AL58,CE58,IF(W65&lt;AL59,CE59,IF(W65&lt;AL60,CE60,IF(W65&lt;AL61,CE61,IF(W65&lt;AL62,CE62,IF(W65&lt;AL63,CE63,IF(W65&lt;AL64,CE64,IF(W65&lt;AL65,CE65,IF(W65&lt;AL66,CE66,CE67)))))))))</f>
        <v>151.77107999999998</v>
      </c>
      <c r="CF69" s="44">
        <f>IF(X65&lt;AL58,CF58,IF(X65&lt;AL59,CF59,IF(X65&lt;AL60,CF60,IF(X65&lt;AL61,CF61,IF(X65&lt;AL62,CF62,IF(X65&lt;AL63,CF63,IF(X65&lt;AL64,CF64,IF(X65&lt;AL65,CF65,IF(X65&lt;AL66,CF66,CF67)))))))))</f>
        <v>1182.3624</v>
      </c>
      <c r="CG69" s="44">
        <f>IF(Y65&lt;AL58,CG58,IF(Y65&lt;AL59,CG59,IF(Y65&lt;AL60,CG60,IF(Y65&lt;AL61,CG61,IF(Y65&lt;AL62,CG62,IF(Y65&lt;AL63,CG63,IF(Y65&lt;AL64,CG64,IF(Y65&lt;AL65,CG65,IF(Y65&lt;AL66,CG66,CG67)))))))))</f>
        <v>2364.7248</v>
      </c>
      <c r="CH69" s="44">
        <f>IF(Z65&lt;AL58,CH58,IF(Z65&lt;AL59,CH59,IF(Z65&lt;AL60,CH60,IF(Z65&lt;AL61,CH61,IF(Z65&lt;AL62,CH62,IF(Z65&lt;AL63,CH63,IF(Z65&lt;AL64,CH64,IF(Z65&lt;AL65,CH65,IF(Z65&lt;AL66,CH66,CH67)))))))))</f>
        <v>0</v>
      </c>
      <c r="CI69" s="44">
        <f>IF(AA65&lt;AL58,CI58,IF(AA65&lt;AL59,CI59,IF(AA65&lt;AL60,CI60,IF(AA65&lt;AL61,CI61,IF(AA65&lt;AL62,CI62,IF(AA65&lt;AL63,CI63,IF(AA65&lt;AL64,CI64,IF(AA65&lt;AL65,CI65,IF(AA65&lt;AL66,CI66,CI67)))))))))</f>
        <v>438.0190138411678</v>
      </c>
      <c r="CJ69" s="44">
        <f>IF(AB65&lt;AL58,CJ58,IF(AB65&lt;AL59,CJ59,IF(AB65&lt;AL60,CJ60,IF(AB65&lt;AL61,CJ61,IF(AB65&lt;AL62,CJ62,IF(AB65&lt;AL63,CJ63,IF(AB65&lt;AL64,CJ64,IF(AB65&lt;AL65,CJ65,IF(AB65&lt;AL66,CJ66,CJ67)))))))))</f>
        <v>0</v>
      </c>
      <c r="CK69" s="44">
        <f>IF(AC65&lt;AL58,CK58,IF(AC65&lt;AL59,CK59,IF(AC65&lt;AL60,CK60,IF(AC65&lt;AL61,CK61,IF(AC65&lt;AL62,CK62,IF(AC65&lt;AL63,CK63,IF(AC65&lt;AL64,CK64,IF(AC65&lt;AL65,CK65,IF(AC65&lt;AL66,CK66,CK67)))))))))</f>
        <v>0</v>
      </c>
      <c r="CL69" s="44">
        <f>IF(AD65&lt;AL58,CL58,IF(AD65&lt;AL59,CL59,IF(AD65&lt;AL60,CL60,IF(AD65&lt;AL61,CL61,IF(AD65&lt;AL62,CL62,IF(AD65&lt;AL63,CL63,IF(AD65&lt;AL64,CL64,IF(AD65&lt;AL65,CL65,IF(AD65&lt;AL66,CL66,CL67)))))))))</f>
        <v>626.2317142581029</v>
      </c>
      <c r="CM69" s="44">
        <f>IF(AE65&lt;AL58,CM58,IF(AE65&lt;AL59,CM59,IF(AE65&lt;AL60,CM60,IF(AE65&lt;AL61,CM61,IF(AE65&lt;AL62,CM62,IF(AE65&lt;AL63,CM63,IF(AE65&lt;AL64,CM64,IF(AE65&lt;AL65,CM65,IF(AE65&lt;AL66,CM66,CM67)))))))))</f>
        <v>0</v>
      </c>
      <c r="CN69" s="44" t="e">
        <f>IF(AF65&lt;AL58,CN58,IF(AF65&lt;AL59,CN59,IF(AF65&lt;AL60,CN60,IF(AF65&lt;AL61,CN61,IF(AF65&lt;AL62,CN62,IF(AF65&lt;AL63,CN63,IF(AF65&lt;AL64,CN64,IF(AF65&lt;AL65,CN65,IF(AF65&lt;AL66,CN66,CN67)))))))))</f>
        <v>#VALUE!</v>
      </c>
      <c r="CO69" s="44">
        <f>IF(AG65&lt;AL58,CO58,IF(AG65&lt;AL59,CO59,IF(AG65&lt;AL60,CO60,IF(AG65&lt;AL61,CO61,IF(AG65&lt;AL62,CO62,IF(AG65&lt;AL63,CO63,IF(AG65&lt;AL64,CO64,IF(AG65&lt;AL65,CO65,IF(AG65&lt;AL66,CO66,CO67)))))))))</f>
        <v>0</v>
      </c>
      <c r="CP69" s="44" t="e">
        <f>IF(AH65&lt;AL58,CP58,IF(AH65&lt;AL59,CP59,IF(AH65&lt;AL60,CP60,IF(AH65&lt;AL61,CP61,IF(AH65&lt;AL62,CP62,IF(AH65&lt;AL63,CP63,IF(AH65&lt;AL64,CP64,IF(AH65&lt;AL65,CP65,IF(AH65&lt;AL66,CP66,CP67)))))))))</f>
        <v>#REF!</v>
      </c>
      <c r="CQ69" s="44" t="e">
        <f>IF(AI65&lt;AL58,CQ58,IF(AI65&lt;AL59,CQ59,IF(AI65&lt;AL60,CQ60,IF(AI65&lt;AL61,CQ61,IF(AI65&lt;AL62,CQ62,IF(AI65&lt;AL63,CQ63,IF(AI65&lt;AL64,CQ64,IF(AI65&lt;AL65,CQ65,IF(AI65&lt;AL66,CQ66,CQ67)))))))))</f>
        <v>#REF!</v>
      </c>
    </row>
    <row r="70" spans="1:116" ht="15" customHeight="1" x14ac:dyDescent="0.25">
      <c r="A70" s="398"/>
      <c r="B70" s="406" t="s">
        <v>268</v>
      </c>
      <c r="C70" s="411">
        <f t="shared" si="60"/>
        <v>447542.68434755871</v>
      </c>
      <c r="D70" s="415">
        <f t="shared" si="61"/>
        <v>275451.58465792978</v>
      </c>
      <c r="E70" s="415">
        <f t="shared" si="62"/>
        <v>8995.6079553859308</v>
      </c>
      <c r="F70" s="419">
        <f t="shared" si="63"/>
        <v>5370.5122121707045</v>
      </c>
      <c r="G70" s="423">
        <f t="shared" si="64"/>
        <v>22377.134217377938</v>
      </c>
      <c r="H70" s="427">
        <f t="shared" si="65"/>
        <v>4.8423899999999994E-3</v>
      </c>
      <c r="I70" s="427">
        <f t="shared" si="66"/>
        <v>4.611850605957199E-2</v>
      </c>
      <c r="J70" s="402">
        <f t="shared" si="67"/>
        <v>5.0960896059571992E-2</v>
      </c>
      <c r="K70" s="398"/>
      <c r="L70" s="557">
        <v>12</v>
      </c>
      <c r="M70" s="561">
        <f>G131-D100</f>
        <v>119530.48083206604</v>
      </c>
      <c r="N70" s="552">
        <f>F100-D100</f>
        <v>172091.09968962893</v>
      </c>
      <c r="O70" s="398"/>
      <c r="P70" s="398"/>
      <c r="Q70" s="2"/>
      <c r="R70" s="3" t="s">
        <v>53</v>
      </c>
      <c r="S70" s="72">
        <f t="shared" ref="S70:AI70" si="87">IF(S66+S67+S68-CV58-CV59&lt;0,0,S66+S67+S68-CV58-CV59)</f>
        <v>8001.3947999999991</v>
      </c>
      <c r="T70" s="72">
        <f t="shared" si="87"/>
        <v>75899.651700000002</v>
      </c>
      <c r="U70" s="72">
        <f t="shared" si="87"/>
        <v>7144.7212800000007</v>
      </c>
      <c r="V70" s="72">
        <f t="shared" si="87"/>
        <v>80004.287219999984</v>
      </c>
      <c r="W70" s="72">
        <f t="shared" si="87"/>
        <v>8735.2138800000012</v>
      </c>
      <c r="X70" s="72">
        <f t="shared" si="87"/>
        <v>78109.886099999989</v>
      </c>
      <c r="Y70" s="72">
        <f t="shared" si="87"/>
        <v>80320.12049999999</v>
      </c>
      <c r="Z70" s="72">
        <f t="shared" si="87"/>
        <v>15660.244700000003</v>
      </c>
      <c r="AA70" s="72">
        <f t="shared" si="87"/>
        <v>5916.1642502606528</v>
      </c>
      <c r="AB70" s="72">
        <f t="shared" si="87"/>
        <v>15660.244700000003</v>
      </c>
      <c r="AC70" s="72">
        <f t="shared" si="87"/>
        <v>5770.5518000000002</v>
      </c>
      <c r="AD70" s="72">
        <f t="shared" si="87"/>
        <v>16869.517599653977</v>
      </c>
      <c r="AE70" s="72">
        <f t="shared" si="87"/>
        <v>5770.5518000000002</v>
      </c>
      <c r="AF70" s="72" t="e">
        <f t="shared" si="87"/>
        <v>#VALUE!</v>
      </c>
      <c r="AG70" s="72">
        <f t="shared" si="87"/>
        <v>226330.8517</v>
      </c>
      <c r="AH70" s="72" t="e">
        <f t="shared" si="87"/>
        <v>#REF!</v>
      </c>
      <c r="AI70" s="72" t="e">
        <f t="shared" si="87"/>
        <v>#REF!</v>
      </c>
      <c r="AJ70" s="130">
        <f>IF((T70-S70-2250)&lt;26010,(T70-S70-2250),26010)</f>
        <v>26010</v>
      </c>
    </row>
    <row r="71" spans="1:116" ht="15" customHeight="1" x14ac:dyDescent="0.25">
      <c r="A71" s="4"/>
      <c r="B71" s="407" t="s">
        <v>269</v>
      </c>
      <c r="C71" s="410">
        <f t="shared" si="60"/>
        <v>452527.90882628434</v>
      </c>
      <c r="D71" s="414">
        <f t="shared" si="61"/>
        <v>269942.55296477117</v>
      </c>
      <c r="E71" s="414">
        <f t="shared" si="62"/>
        <v>9095.8109674083153</v>
      </c>
      <c r="F71" s="418">
        <f t="shared" si="63"/>
        <v>5430.3349059154125</v>
      </c>
      <c r="G71" s="422">
        <f t="shared" si="64"/>
        <v>22626.39544131422</v>
      </c>
      <c r="H71" s="426">
        <f t="shared" si="65"/>
        <v>4.8423900000000002E-3</v>
      </c>
      <c r="I71" s="426">
        <f t="shared" si="66"/>
        <v>4.5610446554630618E-2</v>
      </c>
      <c r="J71" s="401">
        <f t="shared" si="67"/>
        <v>5.045283655463062E-2</v>
      </c>
      <c r="K71" s="4"/>
      <c r="L71" s="405">
        <v>13</v>
      </c>
      <c r="M71" s="560">
        <f>G132-D101</f>
        <v>123267.43451054022</v>
      </c>
      <c r="N71" s="89">
        <f>F101-D101</f>
        <v>182585.35586151318</v>
      </c>
      <c r="O71" s="4"/>
      <c r="P71" s="4"/>
      <c r="Q71" s="2"/>
      <c r="R71" s="7" t="s">
        <v>78</v>
      </c>
      <c r="S71" t="s">
        <v>55</v>
      </c>
      <c r="T71" t="s">
        <v>56</v>
      </c>
      <c r="U71" t="s">
        <v>55</v>
      </c>
      <c r="V71" t="s">
        <v>56</v>
      </c>
      <c r="W71" t="s">
        <v>55</v>
      </c>
      <c r="X71" t="s">
        <v>56</v>
      </c>
      <c r="Y71" t="s">
        <v>56</v>
      </c>
      <c r="Z71" t="s">
        <v>56</v>
      </c>
      <c r="AA71" t="s">
        <v>56</v>
      </c>
      <c r="AB71" t="s">
        <v>56</v>
      </c>
      <c r="AC71" t="s">
        <v>56</v>
      </c>
      <c r="AD71" t="s">
        <v>56</v>
      </c>
      <c r="AE71" t="s">
        <v>56</v>
      </c>
      <c r="AF71" t="s">
        <v>56</v>
      </c>
      <c r="AG71" t="s">
        <v>56</v>
      </c>
      <c r="AH71" t="s">
        <v>56</v>
      </c>
      <c r="AI71" t="s">
        <v>56</v>
      </c>
      <c r="AK71" s="9" t="s">
        <v>79</v>
      </c>
      <c r="AL71" s="10"/>
      <c r="AM71" s="11" t="s">
        <v>6</v>
      </c>
      <c r="AN71" s="9"/>
      <c r="AO71" s="9"/>
      <c r="AQ71" s="12"/>
      <c r="AT71" s="12"/>
      <c r="AU71" s="12"/>
      <c r="AV71" s="12"/>
      <c r="AW71" s="12"/>
      <c r="AX71" s="12"/>
      <c r="AY71" s="12"/>
      <c r="AZ71" s="12"/>
      <c r="BA71" s="12"/>
      <c r="BB71" s="12"/>
      <c r="BC71" s="12"/>
      <c r="BD71" s="12"/>
      <c r="BE71" s="12"/>
      <c r="BF71" s="12"/>
      <c r="BG71" s="12"/>
      <c r="BH71" s="12"/>
      <c r="BI71" s="12"/>
      <c r="BJ71" s="12" t="s">
        <v>9</v>
      </c>
      <c r="BK71" s="12"/>
      <c r="BL71" s="12"/>
      <c r="BM71" s="12"/>
      <c r="BN71" s="12"/>
      <c r="BO71" s="12"/>
      <c r="BP71" s="12"/>
      <c r="BQ71" s="12"/>
      <c r="BR71" s="12"/>
      <c r="BS71" s="12"/>
      <c r="BT71" s="12"/>
      <c r="BU71" s="12"/>
      <c r="BV71" s="12"/>
      <c r="BW71" s="12"/>
      <c r="BX71" s="12"/>
      <c r="BY71" s="12"/>
      <c r="BZ71" s="12"/>
      <c r="CA71" s="12" t="s">
        <v>58</v>
      </c>
      <c r="CB71" s="12"/>
      <c r="CC71" s="12"/>
      <c r="CD71" s="12"/>
      <c r="CE71" s="12"/>
      <c r="CF71" s="12"/>
      <c r="CG71" s="12"/>
      <c r="CH71" s="12"/>
      <c r="CI71" s="12"/>
      <c r="CJ71" s="12"/>
      <c r="CK71" s="12"/>
      <c r="CL71" s="12"/>
      <c r="CM71" s="12"/>
      <c r="CN71" s="12"/>
      <c r="CO71" s="12"/>
      <c r="CP71" s="12"/>
      <c r="CQ71" s="12"/>
      <c r="CS71" s="13"/>
    </row>
    <row r="72" spans="1:116" ht="15" customHeight="1" x14ac:dyDescent="0.25">
      <c r="A72" s="46"/>
      <c r="B72" s="406" t="s">
        <v>270</v>
      </c>
      <c r="C72" s="411">
        <f t="shared" si="60"/>
        <v>457798.57534397527</v>
      </c>
      <c r="D72" s="415">
        <f t="shared" si="61"/>
        <v>264543.70190547575</v>
      </c>
      <c r="E72" s="415">
        <f t="shared" si="62"/>
        <v>9201.7513644139035</v>
      </c>
      <c r="F72" s="419">
        <f t="shared" si="63"/>
        <v>5493.5829041277038</v>
      </c>
      <c r="G72" s="423">
        <f t="shared" si="64"/>
        <v>22889.928767198766</v>
      </c>
      <c r="H72" s="427">
        <f t="shared" si="65"/>
        <v>4.8423900000000002E-3</v>
      </c>
      <c r="I72" s="427">
        <f t="shared" si="66"/>
        <v>4.5085330343135652E-2</v>
      </c>
      <c r="J72" s="402">
        <f t="shared" si="67"/>
        <v>4.9927720343135654E-2</v>
      </c>
      <c r="K72" s="46"/>
      <c r="L72" s="557">
        <v>14</v>
      </c>
      <c r="M72" s="561">
        <f>G133-D102</f>
        <v>126902.15794268646</v>
      </c>
      <c r="N72" s="552">
        <f>F102-D102</f>
        <v>193254.87343849952</v>
      </c>
      <c r="O72" s="397"/>
      <c r="P72" s="397"/>
      <c r="Q72" s="2"/>
      <c r="R72" s="3" t="s">
        <v>11</v>
      </c>
      <c r="S72" s="97">
        <f t="shared" ref="S72:Z75" si="88">S55</f>
        <v>60000</v>
      </c>
      <c r="T72" s="97">
        <f t="shared" si="88"/>
        <v>250000</v>
      </c>
      <c r="U72" s="97">
        <f t="shared" si="88"/>
        <v>55885.760000000002</v>
      </c>
      <c r="V72" s="97">
        <f t="shared" si="88"/>
        <v>258242.24</v>
      </c>
      <c r="W72" s="97">
        <f t="shared" si="88"/>
        <v>62064</v>
      </c>
      <c r="X72" s="97">
        <f t="shared" si="88"/>
        <v>252064</v>
      </c>
      <c r="Y72" s="97">
        <f t="shared" si="88"/>
        <v>254128</v>
      </c>
      <c r="Z72" s="97">
        <f t="shared" si="88"/>
        <v>0</v>
      </c>
      <c r="AA72" s="97">
        <f t="shared" ref="AA72:AH75" si="89">AA55</f>
        <v>0</v>
      </c>
      <c r="AB72" s="97">
        <f t="shared" si="89"/>
        <v>0</v>
      </c>
      <c r="AC72" s="97">
        <f t="shared" si="89"/>
        <v>0</v>
      </c>
      <c r="AD72" s="97">
        <f t="shared" si="89"/>
        <v>0</v>
      </c>
      <c r="AE72" s="97">
        <f t="shared" si="89"/>
        <v>0</v>
      </c>
      <c r="AF72" s="97">
        <f t="shared" si="89"/>
        <v>0</v>
      </c>
      <c r="AG72" s="97">
        <f t="shared" si="89"/>
        <v>250000</v>
      </c>
      <c r="AH72" s="97">
        <f t="shared" si="89"/>
        <v>0</v>
      </c>
      <c r="AI72" s="97">
        <f t="shared" ref="AI72" si="90">AI55</f>
        <v>0</v>
      </c>
      <c r="AJ72" s="196">
        <f>W86+X86</f>
        <v>3520.8227999999945</v>
      </c>
      <c r="AK72" s="9"/>
      <c r="AL72" s="10"/>
      <c r="AM72" s="98"/>
      <c r="AN72" s="9" t="s">
        <v>7</v>
      </c>
      <c r="AO72" s="9" t="s">
        <v>80</v>
      </c>
      <c r="AP72" s="99"/>
      <c r="AQ72" s="100" t="s">
        <v>12</v>
      </c>
      <c r="AR72" s="100"/>
      <c r="AS72" s="101" t="s">
        <v>55</v>
      </c>
      <c r="AT72" t="s">
        <v>56</v>
      </c>
      <c r="BJ72" s="16" t="s">
        <v>16</v>
      </c>
      <c r="BK72" s="16"/>
      <c r="BL72" s="16"/>
      <c r="BM72" s="16"/>
      <c r="BN72" s="16"/>
      <c r="BO72" s="16"/>
      <c r="BP72" s="16"/>
      <c r="BQ72" s="16"/>
      <c r="BR72" s="16"/>
      <c r="BS72" s="16"/>
      <c r="BT72" s="16"/>
      <c r="BU72" s="16"/>
      <c r="BV72" s="16"/>
      <c r="BW72" s="16"/>
      <c r="BX72" s="16"/>
      <c r="BY72" s="16"/>
      <c r="BZ72" s="16"/>
      <c r="CA72" t="s">
        <v>16</v>
      </c>
      <c r="CR72" t="s">
        <v>17</v>
      </c>
      <c r="CT72" s="100"/>
      <c r="CU72" s="100"/>
      <c r="CV72" s="100"/>
      <c r="CW72" s="100"/>
    </row>
    <row r="73" spans="1:116" ht="15" customHeight="1" x14ac:dyDescent="0.25">
      <c r="A73" s="46"/>
      <c r="B73" s="407" t="s">
        <v>271</v>
      </c>
      <c r="C73" s="410">
        <f t="shared" si="60"/>
        <v>463371.02762957622</v>
      </c>
      <c r="D73" s="414">
        <f t="shared" si="61"/>
        <v>259252.82786736623</v>
      </c>
      <c r="E73" s="414">
        <f t="shared" si="62"/>
        <v>9313.7576553544823</v>
      </c>
      <c r="F73" s="418">
        <f t="shared" si="63"/>
        <v>5560.452331554915</v>
      </c>
      <c r="G73" s="422">
        <f t="shared" si="64"/>
        <v>23168.551381478814</v>
      </c>
      <c r="H73" s="426">
        <f t="shared" si="65"/>
        <v>4.8423900000000002E-3</v>
      </c>
      <c r="I73" s="426">
        <f t="shared" si="66"/>
        <v>4.4543138800857092E-2</v>
      </c>
      <c r="J73" s="401">
        <f t="shared" si="67"/>
        <v>4.9385528800857094E-2</v>
      </c>
      <c r="K73" s="46"/>
      <c r="L73" s="405">
        <v>15</v>
      </c>
      <c r="M73" s="560">
        <f>G134-D103</f>
        <v>130252.03274663442</v>
      </c>
      <c r="N73" s="89">
        <f>F103-D103</f>
        <v>204118.19976220999</v>
      </c>
      <c r="O73" s="46"/>
      <c r="P73" s="46"/>
      <c r="Q73" s="2"/>
      <c r="R73" s="3" t="s">
        <v>18</v>
      </c>
      <c r="S73" s="97">
        <f t="shared" si="88"/>
        <v>10800</v>
      </c>
      <c r="T73" s="97">
        <f t="shared" si="88"/>
        <v>26010</v>
      </c>
      <c r="U73" s="97">
        <f t="shared" si="88"/>
        <v>10800</v>
      </c>
      <c r="V73" s="97">
        <f t="shared" si="88"/>
        <v>26010</v>
      </c>
      <c r="W73" s="97">
        <f t="shared" si="88"/>
        <v>10800</v>
      </c>
      <c r="X73" s="97">
        <f t="shared" si="88"/>
        <v>26010</v>
      </c>
      <c r="Y73" s="97">
        <f t="shared" si="88"/>
        <v>26010</v>
      </c>
      <c r="Z73" s="97">
        <f t="shared" si="88"/>
        <v>0</v>
      </c>
      <c r="AA73" s="97">
        <f t="shared" si="89"/>
        <v>-40000</v>
      </c>
      <c r="AB73" s="97">
        <f t="shared" si="89"/>
        <v>0</v>
      </c>
      <c r="AC73" s="97">
        <f t="shared" si="89"/>
        <v>-40000</v>
      </c>
      <c r="AD73" s="97">
        <f t="shared" si="89"/>
        <v>0</v>
      </c>
      <c r="AE73" s="97">
        <f t="shared" si="89"/>
        <v>-40000</v>
      </c>
      <c r="AF73" s="97">
        <f t="shared" si="89"/>
        <v>-40000</v>
      </c>
      <c r="AG73" s="97">
        <f t="shared" si="89"/>
        <v>26010</v>
      </c>
      <c r="AH73" s="97">
        <f t="shared" si="89"/>
        <v>0</v>
      </c>
      <c r="AI73" s="97">
        <f t="shared" ref="AI73" si="91">AI56</f>
        <v>-40000</v>
      </c>
      <c r="AK73" s="102"/>
      <c r="AL73" s="103"/>
      <c r="AM73" s="104"/>
      <c r="AN73" s="9"/>
      <c r="AO73" s="9"/>
      <c r="AP73" s="100" t="s">
        <v>19</v>
      </c>
      <c r="AQ73" s="100" t="s">
        <v>20</v>
      </c>
      <c r="AR73" s="105" t="s">
        <v>21</v>
      </c>
      <c r="AS73" s="106" t="s">
        <v>22</v>
      </c>
      <c r="BJ73" s="16" t="s">
        <v>23</v>
      </c>
      <c r="BK73" s="16"/>
      <c r="BL73" s="16"/>
      <c r="BM73" s="16"/>
      <c r="BN73" s="16"/>
      <c r="BO73" s="16"/>
      <c r="BP73" s="16"/>
      <c r="BQ73" s="16"/>
      <c r="BR73" s="16"/>
      <c r="BS73" s="16"/>
      <c r="BT73" s="16"/>
      <c r="BU73" s="16"/>
      <c r="BV73" s="16"/>
      <c r="BW73" s="16"/>
      <c r="BX73" s="16"/>
      <c r="BY73" s="16"/>
      <c r="BZ73" s="16"/>
      <c r="CA73" t="s">
        <v>22</v>
      </c>
    </row>
    <row r="74" spans="1:116" ht="15" customHeight="1" x14ac:dyDescent="0.25">
      <c r="A74" s="46"/>
      <c r="B74" s="406" t="s">
        <v>272</v>
      </c>
      <c r="C74" s="411">
        <f t="shared" si="60"/>
        <v>469262.54521488969</v>
      </c>
      <c r="D74" s="415">
        <f t="shared" si="61"/>
        <v>254067.7713100189</v>
      </c>
      <c r="E74" s="415">
        <f t="shared" si="62"/>
        <v>9432.1771588192823</v>
      </c>
      <c r="F74" s="419">
        <f t="shared" si="63"/>
        <v>5631.1505425786763</v>
      </c>
      <c r="G74" s="423">
        <f t="shared" si="64"/>
        <v>23463.127260744484</v>
      </c>
      <c r="H74" s="427">
        <f t="shared" si="65"/>
        <v>4.8423899999999994E-3</v>
      </c>
      <c r="I74" s="427">
        <f t="shared" si="66"/>
        <v>4.3983906686071252E-2</v>
      </c>
      <c r="J74" s="402">
        <f t="shared" si="67"/>
        <v>4.8826296686071254E-2</v>
      </c>
      <c r="K74" s="46"/>
      <c r="L74" s="557">
        <v>16</v>
      </c>
      <c r="M74" s="561">
        <f>G135-D104</f>
        <v>133403.37036094361</v>
      </c>
      <c r="N74" s="552">
        <f>F104-D104</f>
        <v>215194.77390487079</v>
      </c>
      <c r="O74" s="46"/>
      <c r="P74" s="46"/>
      <c r="Q74" s="2"/>
      <c r="R74" s="3"/>
      <c r="S74" s="97">
        <f t="shared" si="88"/>
        <v>0</v>
      </c>
      <c r="T74" s="97">
        <f t="shared" si="88"/>
        <v>0</v>
      </c>
      <c r="U74" s="97">
        <f t="shared" si="88"/>
        <v>0</v>
      </c>
      <c r="V74" s="97">
        <f t="shared" si="88"/>
        <v>0</v>
      </c>
      <c r="W74" s="97">
        <f t="shared" si="88"/>
        <v>0</v>
      </c>
      <c r="X74" s="97">
        <f t="shared" si="88"/>
        <v>0</v>
      </c>
      <c r="Y74" s="97">
        <f t="shared" si="88"/>
        <v>0</v>
      </c>
      <c r="Z74" s="97">
        <f t="shared" si="88"/>
        <v>0</v>
      </c>
      <c r="AA74" s="97">
        <f t="shared" si="89"/>
        <v>0</v>
      </c>
      <c r="AB74" s="97">
        <f t="shared" si="89"/>
        <v>0</v>
      </c>
      <c r="AC74" s="97">
        <f t="shared" si="89"/>
        <v>0</v>
      </c>
      <c r="AD74" s="97">
        <f t="shared" si="89"/>
        <v>0</v>
      </c>
      <c r="AE74" s="97">
        <f t="shared" si="89"/>
        <v>0</v>
      </c>
      <c r="AF74" s="97">
        <f t="shared" si="89"/>
        <v>0</v>
      </c>
      <c r="AG74" s="97">
        <f t="shared" si="89"/>
        <v>0</v>
      </c>
      <c r="AH74" s="97">
        <f t="shared" si="89"/>
        <v>0</v>
      </c>
      <c r="AI74" s="97">
        <f t="shared" ref="AI74" si="92">AI57</f>
        <v>0</v>
      </c>
      <c r="AK74" s="102"/>
      <c r="AL74" s="103"/>
      <c r="AM74" s="108"/>
      <c r="AN74" s="9"/>
      <c r="AO74" s="9"/>
      <c r="AP74" s="100"/>
      <c r="AQ74" s="100"/>
      <c r="AR74" s="105"/>
      <c r="AS74" s="106"/>
      <c r="BJ74" s="16"/>
      <c r="BK74" s="16"/>
      <c r="BL74" s="16"/>
      <c r="BM74" s="16"/>
      <c r="BN74" s="16"/>
      <c r="BO74" s="16"/>
      <c r="BP74" s="16"/>
      <c r="BQ74" s="16"/>
      <c r="BR74" s="16"/>
      <c r="BS74" s="16"/>
      <c r="BT74" s="16"/>
      <c r="BU74" s="16"/>
      <c r="BV74" s="16"/>
      <c r="BW74" s="16"/>
      <c r="BX74" s="16"/>
      <c r="BY74" s="16"/>
      <c r="BZ74" s="16"/>
      <c r="CS74" t="s">
        <v>25</v>
      </c>
      <c r="CT74" t="s">
        <v>26</v>
      </c>
      <c r="CU74" t="s">
        <v>27</v>
      </c>
      <c r="CV74" s="16" t="s">
        <v>28</v>
      </c>
      <c r="CW74" s="16" t="s">
        <v>61</v>
      </c>
      <c r="CX74" s="16" t="s">
        <v>62</v>
      </c>
      <c r="CY74" s="16" t="s">
        <v>63</v>
      </c>
      <c r="CZ74" s="16" t="s">
        <v>64</v>
      </c>
      <c r="DA74" s="16" t="s">
        <v>65</v>
      </c>
      <c r="DB74" s="16" t="s">
        <v>3</v>
      </c>
      <c r="DC74" s="16" t="s">
        <v>4</v>
      </c>
      <c r="DD74" s="16" t="s">
        <v>13</v>
      </c>
      <c r="DE74" s="4" t="s">
        <v>170</v>
      </c>
      <c r="DF74" s="4" t="s">
        <v>171</v>
      </c>
      <c r="DG74" s="4" t="s">
        <v>172</v>
      </c>
      <c r="DH74" s="4" t="s">
        <v>174</v>
      </c>
      <c r="DI74" s="4" t="s">
        <v>176</v>
      </c>
      <c r="DJ74" s="4" t="s">
        <v>192</v>
      </c>
      <c r="DK74" s="4" t="s">
        <v>196</v>
      </c>
      <c r="DL74" s="4" t="s">
        <v>198</v>
      </c>
    </row>
    <row r="75" spans="1:116" ht="15" customHeight="1" x14ac:dyDescent="0.25">
      <c r="A75" s="46"/>
      <c r="B75" s="407" t="s">
        <v>273</v>
      </c>
      <c r="C75" s="410">
        <f t="shared" si="60"/>
        <v>475491.39701641118</v>
      </c>
      <c r="D75" s="414">
        <f t="shared" si="61"/>
        <v>248986.41588381852</v>
      </c>
      <c r="E75" s="414">
        <f t="shared" si="62"/>
        <v>9557.3770800298644</v>
      </c>
      <c r="F75" s="418">
        <f t="shared" si="63"/>
        <v>5705.8967641969339</v>
      </c>
      <c r="G75" s="422">
        <f t="shared" si="64"/>
        <v>23774.569850820561</v>
      </c>
      <c r="H75" s="426">
        <f t="shared" si="65"/>
        <v>4.8423899999999994E-3</v>
      </c>
      <c r="I75" s="426">
        <f t="shared" si="66"/>
        <v>4.3407725417348879E-2</v>
      </c>
      <c r="J75" s="401">
        <f t="shared" si="67"/>
        <v>4.8250115417348881E-2</v>
      </c>
      <c r="K75" s="46"/>
      <c r="L75" s="405">
        <v>17</v>
      </c>
      <c r="M75" s="560">
        <f>G136-D105</f>
        <v>136353.85800189269</v>
      </c>
      <c r="N75" s="89">
        <f>F105-D105</f>
        <v>226504.98113259266</v>
      </c>
      <c r="O75" s="46"/>
      <c r="P75" s="46"/>
      <c r="Q75" s="2"/>
      <c r="R75" s="3" t="s">
        <v>31</v>
      </c>
      <c r="S75" s="97">
        <f t="shared" si="88"/>
        <v>0</v>
      </c>
      <c r="T75" s="97">
        <f t="shared" si="88"/>
        <v>0</v>
      </c>
      <c r="U75" s="97">
        <f t="shared" si="88"/>
        <v>0</v>
      </c>
      <c r="V75" s="97">
        <f t="shared" si="88"/>
        <v>0</v>
      </c>
      <c r="W75" s="97">
        <f t="shared" si="88"/>
        <v>0</v>
      </c>
      <c r="X75" s="97">
        <f t="shared" si="88"/>
        <v>0</v>
      </c>
      <c r="Y75" s="97">
        <f t="shared" si="88"/>
        <v>0</v>
      </c>
      <c r="Z75" s="97">
        <f t="shared" si="88"/>
        <v>100000</v>
      </c>
      <c r="AA75" s="97">
        <f t="shared" si="89"/>
        <v>0</v>
      </c>
      <c r="AB75" s="97">
        <f t="shared" si="89"/>
        <v>100000</v>
      </c>
      <c r="AC75" s="97">
        <f t="shared" si="89"/>
        <v>0</v>
      </c>
      <c r="AD75" s="97">
        <f t="shared" si="89"/>
        <v>100000</v>
      </c>
      <c r="AE75" s="97">
        <f t="shared" si="89"/>
        <v>0</v>
      </c>
      <c r="AF75" s="97">
        <f t="shared" si="89"/>
        <v>0</v>
      </c>
      <c r="AG75" s="97">
        <f t="shared" si="89"/>
        <v>344000</v>
      </c>
      <c r="AH75" s="97" t="e">
        <f t="shared" si="89"/>
        <v>#REF!</v>
      </c>
      <c r="AI75" s="97" t="e">
        <f t="shared" ref="AI75" si="93">AI58</f>
        <v>#REF!</v>
      </c>
      <c r="AK75" s="110">
        <v>0</v>
      </c>
      <c r="AL75" s="110">
        <v>31843</v>
      </c>
      <c r="AM75" s="111">
        <v>0.25800000000000001</v>
      </c>
      <c r="AN75" s="113">
        <v>3.8399999999999997E-2</v>
      </c>
      <c r="AO75" s="113">
        <v>0.17380000000000001</v>
      </c>
      <c r="AP75" s="13">
        <f t="shared" ref="AP75:AP80" si="94">AL75-AK75</f>
        <v>31843</v>
      </c>
      <c r="AQ75" s="13">
        <f t="shared" ref="AQ75:AQ81" si="95">AP75*AM75</f>
        <v>8215.4940000000006</v>
      </c>
      <c r="AR75" s="97">
        <f>AQ75</f>
        <v>8215.4940000000006</v>
      </c>
      <c r="AS75" s="114">
        <f>S81*AM75</f>
        <v>12693.6</v>
      </c>
      <c r="AT75" s="114">
        <f>T81*AM75</f>
        <v>57789.42</v>
      </c>
      <c r="AU75" s="115">
        <f>U81*AM75</f>
        <v>11632.12608</v>
      </c>
      <c r="AV75" s="115">
        <f>V81*AM75</f>
        <v>59915.91792</v>
      </c>
      <c r="AW75" s="115">
        <f>W81*AM75</f>
        <v>13226.112000000001</v>
      </c>
      <c r="AX75" s="43">
        <f>X81*AM75</f>
        <v>58321.932000000001</v>
      </c>
      <c r="AY75" s="115">
        <f>Y81*AM75</f>
        <v>58854.444000000003</v>
      </c>
      <c r="AZ75" s="115">
        <f>Z81*AM75</f>
        <v>0</v>
      </c>
      <c r="BA75" s="115">
        <f>AA81*AM75</f>
        <v>10385.095080128465</v>
      </c>
      <c r="BB75" s="43">
        <f>AB81*AM75</f>
        <v>0</v>
      </c>
      <c r="BC75" s="43">
        <f>AC81*AM75</f>
        <v>10320</v>
      </c>
      <c r="BD75" s="43">
        <f>AD81*AM75</f>
        <v>369.59367526323467</v>
      </c>
      <c r="BE75" s="43">
        <f>AE81*AM75</f>
        <v>10320</v>
      </c>
      <c r="BF75" s="43" t="e">
        <f>AF81*AM75</f>
        <v>#VALUE!</v>
      </c>
      <c r="BG75" s="43">
        <f>AG81*AM75</f>
        <v>57789.42</v>
      </c>
      <c r="BH75" s="43">
        <f>AH81*AM75</f>
        <v>0</v>
      </c>
      <c r="BI75" s="43">
        <f>AI81*AM75</f>
        <v>10320</v>
      </c>
      <c r="BJ75" s="115">
        <f>S75*AO75</f>
        <v>0</v>
      </c>
      <c r="BK75" s="147">
        <f>T75*AO75</f>
        <v>0</v>
      </c>
      <c r="BL75" s="115">
        <f>U75*AO75</f>
        <v>0</v>
      </c>
      <c r="BM75" s="115">
        <f>V75*AO75</f>
        <v>0</v>
      </c>
      <c r="BN75" s="115">
        <f>W75*AO75</f>
        <v>0</v>
      </c>
      <c r="BO75" s="115">
        <f>X75*AO75</f>
        <v>0</v>
      </c>
      <c r="BP75" s="43">
        <f>Y75*AO75</f>
        <v>0</v>
      </c>
      <c r="BQ75" s="43">
        <f>Z75*AO75</f>
        <v>17380</v>
      </c>
      <c r="BR75" s="43">
        <f>AA75*AO75</f>
        <v>0</v>
      </c>
      <c r="BS75" s="43">
        <f>AB75*AO75</f>
        <v>17380</v>
      </c>
      <c r="BT75" s="43">
        <f>AC75*AO75</f>
        <v>0</v>
      </c>
      <c r="BU75" s="43">
        <f>AD75*AO75</f>
        <v>17380</v>
      </c>
      <c r="BV75" s="43">
        <f>AE75*AO75</f>
        <v>0</v>
      </c>
      <c r="BW75" s="43">
        <f>AF75*AO75</f>
        <v>0</v>
      </c>
      <c r="BX75" s="43">
        <f>AG75*AO75</f>
        <v>59787.200000000004</v>
      </c>
      <c r="BY75" s="43" t="e">
        <f>AH75*AO75</f>
        <v>#REF!</v>
      </c>
      <c r="BZ75" s="43" t="e">
        <f>AI75*AO75</f>
        <v>#REF!</v>
      </c>
      <c r="CA75" s="44">
        <f>AN75*S77</f>
        <v>0</v>
      </c>
      <c r="CB75" s="44">
        <f>AN75*T77</f>
        <v>0</v>
      </c>
      <c r="CC75" s="44">
        <f>AN75*U77</f>
        <v>265.51295999999996</v>
      </c>
      <c r="CD75" s="44">
        <f>AN75*V77</f>
        <v>0</v>
      </c>
      <c r="CE75" s="44">
        <f>AN75*W77</f>
        <v>132.75647999999998</v>
      </c>
      <c r="CF75" s="44">
        <f>AN75*X77</f>
        <v>132.75647999999998</v>
      </c>
      <c r="CG75" s="44">
        <f>AN75*Y77</f>
        <v>265.51295999999996</v>
      </c>
      <c r="CH75" s="44">
        <f>AN75*Z77</f>
        <v>0</v>
      </c>
      <c r="CI75" s="44">
        <f>AN75*AA77</f>
        <v>383.14191643509889</v>
      </c>
      <c r="CJ75" s="44">
        <f>AN75*AB77</f>
        <v>0</v>
      </c>
      <c r="CK75" s="44">
        <f>AN75*AC77</f>
        <v>0</v>
      </c>
      <c r="CL75" s="44">
        <f>AN75*AD77</f>
        <v>111.12429679995908</v>
      </c>
      <c r="CM75" s="44">
        <f>AN75*AE77</f>
        <v>0</v>
      </c>
      <c r="CN75" s="44">
        <f>AN75*AF77</f>
        <v>0</v>
      </c>
      <c r="CO75" s="44">
        <f>AN75*AG77</f>
        <v>0</v>
      </c>
      <c r="CP75" s="44">
        <f>AN75*AH77</f>
        <v>0</v>
      </c>
      <c r="CQ75" s="44">
        <f>AN75*AI77</f>
        <v>1.6535913482720222E-3</v>
      </c>
      <c r="CR75" t="s">
        <v>32</v>
      </c>
      <c r="CS75">
        <v>11635</v>
      </c>
      <c r="CT75" s="117">
        <v>0.15</v>
      </c>
      <c r="CU75">
        <f>CT75*CS75</f>
        <v>1745.25</v>
      </c>
      <c r="CV75" s="16">
        <f>IF(S82&gt;CS75,CU75,CU75-(CS75-S82)*CT75)</f>
        <v>1745.25</v>
      </c>
      <c r="CW75" s="16">
        <f>IF(T82&gt;CS75,CU75,CU75-(CS75-T82)*CT75)</f>
        <v>1745.25</v>
      </c>
      <c r="CX75" s="16">
        <f>IF(U82&gt;CS75,CU75,CU75-(CS75-U82)*CT75)</f>
        <v>1745.25</v>
      </c>
      <c r="CY75" s="16">
        <f>IF(V82&gt;CS75,CU75,CU75-(CS75-V82)*CT75)</f>
        <v>1745.25</v>
      </c>
      <c r="CZ75" s="16">
        <f>IF(W82&gt;CS75,CU75,CU75-(CS75-W82)*CT75)</f>
        <v>1745.25</v>
      </c>
      <c r="DA75" s="16">
        <f>IF(X82&gt;CS75,CU75,CU75-(CS75-X82)*CT75)</f>
        <v>1745.25</v>
      </c>
      <c r="DB75" s="16">
        <f>IF(Y82&gt;CS75,CU75,CU75-(CS75-Y82)*CT75)</f>
        <v>1745.25</v>
      </c>
      <c r="DC75" s="16">
        <f>IF(Z82&gt;CS75,CU75,CU75-(CS75-Z82)*CT75)</f>
        <v>1745.25</v>
      </c>
      <c r="DD75" s="16">
        <f>IF(AA82&gt;CS75,CU75,CU75-(CS75-AA82)*CT75)</f>
        <v>1745.25</v>
      </c>
      <c r="DE75" s="219">
        <f>IF(AB82&gt;CS75,CU75,CU75-(CS75-AB82)*CT75)</f>
        <v>1745.25</v>
      </c>
      <c r="DF75" s="219">
        <f>IF(AC82&gt;CS75,CU75,CU75-(CS75-AC82)*CT75)</f>
        <v>1745.25</v>
      </c>
      <c r="DG75" s="219">
        <f>IF(AD82&gt;CS75,CU75,CU75-(CS75-AD82)*CT75)</f>
        <v>1745.25</v>
      </c>
      <c r="DH75" s="219">
        <f>IF(AE82&gt;CS75,CU75,CU75-(CS75-AE82)*CT75)</f>
        <v>1745.25</v>
      </c>
      <c r="DI75" s="219" t="e">
        <f>IF(AF82&gt;CS75,CU75,CU75-(CS75-AF82)*CT75)</f>
        <v>#VALUE!</v>
      </c>
      <c r="DJ75" s="219">
        <f>IF(AG82&gt;CS75,CU75,CU75-(CS75-AG82)*CT75)</f>
        <v>1745.25</v>
      </c>
      <c r="DK75" s="219" t="e">
        <f>IF(AH82&gt;CS75,CU75,CU75-(CS75-AH82)*CT75)</f>
        <v>#REF!</v>
      </c>
      <c r="DL75" s="219" t="e">
        <f>IF(AI82&gt;CS75,CU75,CU75-(CS75-AI82)*CT75)</f>
        <v>#REF!</v>
      </c>
    </row>
    <row r="76" spans="1:116" ht="15" customHeight="1" x14ac:dyDescent="0.25">
      <c r="A76" s="46"/>
      <c r="B76" s="406" t="s">
        <v>274</v>
      </c>
      <c r="C76" s="411">
        <f t="shared" si="60"/>
        <v>482076.897985132</v>
      </c>
      <c r="D76" s="415">
        <f t="shared" si="61"/>
        <v>244006.68756614215</v>
      </c>
      <c r="E76" s="415">
        <f t="shared" si="62"/>
        <v>9689.7456495011538</v>
      </c>
      <c r="F76" s="419">
        <f t="shared" si="63"/>
        <v>5784.9227758215839</v>
      </c>
      <c r="G76" s="423">
        <f t="shared" si="64"/>
        <v>24103.844899256601</v>
      </c>
      <c r="H76" s="427">
        <f t="shared" si="65"/>
        <v>4.8423899999999994E-3</v>
      </c>
      <c r="I76" s="427">
        <f t="shared" si="66"/>
        <v>4.2814746125081002E-2</v>
      </c>
      <c r="J76" s="402">
        <f t="shared" si="67"/>
        <v>4.7657136125081004E-2</v>
      </c>
      <c r="K76" s="46"/>
      <c r="L76" s="557">
        <v>18</v>
      </c>
      <c r="M76" s="561">
        <f>G137-D106</f>
        <v>139100.92898323204</v>
      </c>
      <c r="N76" s="552">
        <f>F106-D106</f>
        <v>238070.21041898985</v>
      </c>
      <c r="O76" s="46"/>
      <c r="P76" s="46"/>
      <c r="Q76" s="2"/>
      <c r="R76" s="3" t="s">
        <v>35</v>
      </c>
      <c r="S76" s="97">
        <f t="shared" ref="S76:Z76" si="96">1.16*S75</f>
        <v>0</v>
      </c>
      <c r="T76" s="97">
        <f t="shared" si="96"/>
        <v>0</v>
      </c>
      <c r="U76" s="97">
        <f t="shared" si="96"/>
        <v>0</v>
      </c>
      <c r="V76" s="97">
        <f t="shared" si="96"/>
        <v>0</v>
      </c>
      <c r="W76" s="97">
        <f t="shared" si="96"/>
        <v>0</v>
      </c>
      <c r="X76" s="97">
        <f t="shared" si="96"/>
        <v>0</v>
      </c>
      <c r="Y76" s="97">
        <f t="shared" si="96"/>
        <v>0</v>
      </c>
      <c r="Z76" s="97">
        <f t="shared" si="96"/>
        <v>115999.99999999999</v>
      </c>
      <c r="AA76" s="97">
        <f t="shared" ref="AA76:AH76" si="97">1.16*AA75</f>
        <v>0</v>
      </c>
      <c r="AB76" s="97">
        <f t="shared" si="97"/>
        <v>115999.99999999999</v>
      </c>
      <c r="AC76" s="97">
        <f t="shared" si="97"/>
        <v>0</v>
      </c>
      <c r="AD76" s="97">
        <f t="shared" si="97"/>
        <v>115999.99999999999</v>
      </c>
      <c r="AE76" s="97">
        <f t="shared" si="97"/>
        <v>0</v>
      </c>
      <c r="AF76" s="97">
        <f t="shared" si="97"/>
        <v>0</v>
      </c>
      <c r="AG76" s="97">
        <f t="shared" si="97"/>
        <v>399040</v>
      </c>
      <c r="AH76" s="97" t="e">
        <f t="shared" si="97"/>
        <v>#REF!</v>
      </c>
      <c r="AI76" s="97" t="e">
        <f t="shared" ref="AI76" si="98">1.16*AI75</f>
        <v>#REF!</v>
      </c>
      <c r="AK76" s="118">
        <f t="shared" ref="AK76:AK81" si="99">AL75+1</f>
        <v>31844</v>
      </c>
      <c r="AL76" s="119">
        <v>46605</v>
      </c>
      <c r="AM76" s="120">
        <v>0.27750000000000002</v>
      </c>
      <c r="AN76" s="122">
        <v>6.5299999999999997E-2</v>
      </c>
      <c r="AO76" s="122">
        <v>0.19650000000000001</v>
      </c>
      <c r="AP76" s="13">
        <f t="shared" si="94"/>
        <v>14761</v>
      </c>
      <c r="AQ76" s="13">
        <f t="shared" si="95"/>
        <v>4096.1775000000007</v>
      </c>
      <c r="AR76" s="97">
        <f t="shared" ref="AR76:AR81" si="100">AR75+AQ76</f>
        <v>12311.6715</v>
      </c>
      <c r="AS76" s="114">
        <f>AR75+AM76*(S81-AK76)</f>
        <v>13031.784000000001</v>
      </c>
      <c r="AT76" s="114">
        <f>AR75+AM76*(T81-AK76)</f>
        <v>61536.009000000005</v>
      </c>
      <c r="AU76" s="115">
        <f>AR75+AM76*(U81-AK76)</f>
        <v>11890.082400000001</v>
      </c>
      <c r="AV76" s="115">
        <f>AR75+AM76*(V81-AK76)</f>
        <v>63823.230600000003</v>
      </c>
      <c r="AW76" s="115">
        <f>AR75+AM76*(W81-AK76)</f>
        <v>13604.544000000002</v>
      </c>
      <c r="AX76" s="43">
        <f>AR75+AM76*(X81-AK76)</f>
        <v>62108.769</v>
      </c>
      <c r="AY76" s="115">
        <f>AR75+AM76*(Y81-AK76)</f>
        <v>62681.529000000002</v>
      </c>
      <c r="AZ76" s="115">
        <f>AR75+AM76*(Z81-AK76)</f>
        <v>-621.21600000000035</v>
      </c>
      <c r="BA76" s="115">
        <f>AR75+AM76*(AA81-AK76)</f>
        <v>10548.79905711492</v>
      </c>
      <c r="BB76" s="43">
        <f>AR75+AM76*(AB81-AK76)</f>
        <v>-621.21600000000035</v>
      </c>
      <c r="BC76" s="43">
        <f>AR75+AM76*(AC81-AK76)</f>
        <v>10478.784000000001</v>
      </c>
      <c r="BD76" s="43">
        <f>AR75+AM76*(AD81-AK76)</f>
        <v>-223.68791904826503</v>
      </c>
      <c r="BE76" s="43">
        <f>AR75+AM76*(AE81-AK76)</f>
        <v>10478.784000000001</v>
      </c>
      <c r="BF76" s="43" t="e">
        <f>AR75+AM76*(AF81-AK76)</f>
        <v>#VALUE!</v>
      </c>
      <c r="BG76" s="43">
        <f>AR75+AM76*(AG81-AK76)</f>
        <v>61536.009000000005</v>
      </c>
      <c r="BH76" s="43">
        <f>AR75+AM76*(AH81-AK76)</f>
        <v>-621.21600000000035</v>
      </c>
      <c r="BI76" s="43">
        <f>AR75+AM76*(AI81-AK76)</f>
        <v>10478.784000000001</v>
      </c>
      <c r="BJ76" s="115">
        <f>S75*AO76</f>
        <v>0</v>
      </c>
      <c r="BK76" s="115">
        <f>T75*AO76</f>
        <v>0</v>
      </c>
      <c r="BL76" s="115">
        <f>U75*AO76</f>
        <v>0</v>
      </c>
      <c r="BM76" s="115">
        <f>V75*AO76</f>
        <v>0</v>
      </c>
      <c r="BN76" s="115">
        <f>W75*AO76</f>
        <v>0</v>
      </c>
      <c r="BO76" s="115">
        <f>X75*AO76</f>
        <v>0</v>
      </c>
      <c r="BP76" s="43">
        <f>Y75*AO76</f>
        <v>0</v>
      </c>
      <c r="BQ76" s="43">
        <f>Z75*AO76</f>
        <v>19650</v>
      </c>
      <c r="BR76" s="43">
        <f>AA75*AO76</f>
        <v>0</v>
      </c>
      <c r="BS76" s="43">
        <f>AB75*AO76</f>
        <v>19650</v>
      </c>
      <c r="BT76" s="43">
        <f>AC75*AO76</f>
        <v>0</v>
      </c>
      <c r="BU76" s="43">
        <f>AD75*AO76</f>
        <v>19650</v>
      </c>
      <c r="BV76" s="43">
        <f>AE75*AO76</f>
        <v>0</v>
      </c>
      <c r="BW76" s="43">
        <f>AF75*AO76</f>
        <v>0</v>
      </c>
      <c r="BX76" s="43">
        <f>AG75*AO76</f>
        <v>67596</v>
      </c>
      <c r="BY76" s="43" t="e">
        <f>AH75*AO76</f>
        <v>#REF!</v>
      </c>
      <c r="BZ76" s="43" t="e">
        <f>AI75*AO76</f>
        <v>#REF!</v>
      </c>
      <c r="CA76" s="44">
        <f>AN76*S77</f>
        <v>0</v>
      </c>
      <c r="CB76" s="44">
        <f>AN76*T77</f>
        <v>0</v>
      </c>
      <c r="CC76" s="44">
        <f>AN76*U77</f>
        <v>451.51031999999998</v>
      </c>
      <c r="CD76" s="44">
        <f>AN76*V77</f>
        <v>0</v>
      </c>
      <c r="CE76" s="44">
        <f>AN76*W77</f>
        <v>225.75515999999999</v>
      </c>
      <c r="CF76" s="44">
        <f>AN76*X77</f>
        <v>225.75515999999999</v>
      </c>
      <c r="CG76" s="44">
        <f>AN76*Y77</f>
        <v>451.51031999999998</v>
      </c>
      <c r="CH76" s="44">
        <f>AN76*Z77</f>
        <v>0</v>
      </c>
      <c r="CI76" s="44">
        <f>AN76*AA77</f>
        <v>651.5408110211448</v>
      </c>
      <c r="CJ76" s="44">
        <f>AN76*AB77</f>
        <v>0</v>
      </c>
      <c r="CK76" s="44">
        <f>AN76*AC77</f>
        <v>0</v>
      </c>
      <c r="CL76" s="44">
        <f>AN76*AD77</f>
        <v>188.96918179784711</v>
      </c>
      <c r="CM76" s="44">
        <f>AN76*AE77</f>
        <v>0</v>
      </c>
      <c r="CN76" s="44">
        <f>AN76*AF77</f>
        <v>0</v>
      </c>
      <c r="CO76" s="44">
        <f>AN76*AG77</f>
        <v>0</v>
      </c>
      <c r="CP76" s="44">
        <f>AN76*AH77</f>
        <v>0</v>
      </c>
      <c r="CQ76" s="44">
        <f>AN76*AI77</f>
        <v>2.8119665375563297E-3</v>
      </c>
      <c r="CR76" t="s">
        <v>36</v>
      </c>
      <c r="CS76">
        <v>9271</v>
      </c>
      <c r="CT76" s="117">
        <v>0.108</v>
      </c>
      <c r="CU76">
        <f>CT76*CS76</f>
        <v>1001.268</v>
      </c>
      <c r="CV76" s="16">
        <f>IF(S82&gt;CS76,CU76,CU76-(CS76-S82)*CT76)</f>
        <v>1001.268</v>
      </c>
      <c r="CW76" s="16">
        <f>IF(T82&gt;CS76,CU76,CU76-(CS76-T82)*CT76)</f>
        <v>1001.268</v>
      </c>
      <c r="CX76" s="16">
        <f>IF(U82&gt;CS76,CU76,CU76-(CS76-U82)*CT76)</f>
        <v>1001.268</v>
      </c>
      <c r="CY76" s="16">
        <f>IF(V82&gt;CS76,CU76,CU76-(CS76-V82)*CT76)</f>
        <v>1001.268</v>
      </c>
      <c r="CZ76" s="16">
        <f>IF(W82&gt;CS76,CU76,CU76-(CS76-W82)*CT76)</f>
        <v>1001.268</v>
      </c>
      <c r="DA76" s="16">
        <f>IF(X82&gt;CS76,CU76,CU76-(CS76-X82)*CT76)</f>
        <v>1001.268</v>
      </c>
      <c r="DB76" s="16">
        <f>IF(Y82&gt;CS76,CU76,CU76-(CS76-Y82)*CT76)</f>
        <v>1001.268</v>
      </c>
      <c r="DC76" s="16">
        <f>IF(Z82&gt;CS76,CU76,CU76-(CS76-Z82)*CT76)</f>
        <v>1001.268</v>
      </c>
      <c r="DD76" s="16">
        <f>IF(AA82&gt;CS76,CU76,CU76-(CS76-AA82)*CT76)</f>
        <v>1001.268</v>
      </c>
      <c r="DE76" s="219">
        <f>IF(AB82&gt;CS76,CU76,CU76-(CS76-AB82)*CT76)</f>
        <v>1001.268</v>
      </c>
      <c r="DF76" s="219">
        <f>IF(AC82&gt;CS76,CU76,CU76-(CS76-AC82)*CT76)</f>
        <v>1001.268</v>
      </c>
      <c r="DG76" s="219">
        <f>IF(AD82&gt;CS76,CU76,CU76-(CS76-AD82)*CT76)</f>
        <v>1001.268</v>
      </c>
      <c r="DH76" s="219">
        <f>IF(AE82&gt;CS76,CU76,CU76-(CS76-AE82)*CT76)</f>
        <v>1001.268</v>
      </c>
      <c r="DI76" s="219" t="e">
        <f>IF(AF82&gt;CS76,CU76,CU76-(CS76-AF82)*CT76)</f>
        <v>#VALUE!</v>
      </c>
      <c r="DJ76" s="219">
        <f>IF(AG82&gt;CS76,CU76,CU76-(CS76-AG82)*CT76)</f>
        <v>1001.268</v>
      </c>
      <c r="DK76" s="219" t="e">
        <f>IF(AH82&gt;CS76,CU76,CU76-(CS76-AH82)*CT76)</f>
        <v>#REF!</v>
      </c>
      <c r="DL76" s="219" t="e">
        <f>IF(AI82&gt;CS76,CU76,CU76-(CS76-AI82)*CT76)</f>
        <v>#REF!</v>
      </c>
    </row>
    <row r="77" spans="1:116" ht="15" customHeight="1" x14ac:dyDescent="0.25">
      <c r="A77" s="46"/>
      <c r="B77" s="407" t="s">
        <v>275</v>
      </c>
      <c r="C77" s="410">
        <f t="shared" si="60"/>
        <v>489039.46899997449</v>
      </c>
      <c r="D77" s="414">
        <f t="shared" si="61"/>
        <v>239126.55381481932</v>
      </c>
      <c r="E77" s="414">
        <f t="shared" si="62"/>
        <v>9829.6933268994871</v>
      </c>
      <c r="F77" s="418">
        <f t="shared" si="63"/>
        <v>5868.4736279996941</v>
      </c>
      <c r="G77" s="422">
        <f t="shared" si="64"/>
        <v>24451.973449998724</v>
      </c>
      <c r="H77" s="426">
        <f t="shared" si="65"/>
        <v>4.8423900000000002E-3</v>
      </c>
      <c r="I77" s="426">
        <f t="shared" si="66"/>
        <v>4.220518242056466E-2</v>
      </c>
      <c r="J77" s="401">
        <f t="shared" si="67"/>
        <v>4.7047572420564662E-2</v>
      </c>
      <c r="K77" s="46"/>
      <c r="L77" s="405">
        <v>19</v>
      </c>
      <c r="M77" s="560">
        <f>G138-D107</f>
        <v>141641.75345595891</v>
      </c>
      <c r="N77" s="89">
        <f>F107-D107</f>
        <v>249912.91518515517</v>
      </c>
      <c r="O77" s="46"/>
      <c r="P77" s="46"/>
      <c r="Q77" s="2"/>
      <c r="R77" s="3" t="s">
        <v>38</v>
      </c>
      <c r="S77" s="97">
        <f t="shared" ref="S77:Z77" si="101">S60</f>
        <v>0</v>
      </c>
      <c r="T77" s="97">
        <f t="shared" si="101"/>
        <v>0</v>
      </c>
      <c r="U77" s="97">
        <f t="shared" si="101"/>
        <v>6914.4</v>
      </c>
      <c r="V77" s="97">
        <f t="shared" si="101"/>
        <v>0</v>
      </c>
      <c r="W77" s="97">
        <f t="shared" si="101"/>
        <v>3457.2</v>
      </c>
      <c r="X77" s="97">
        <f t="shared" si="101"/>
        <v>3457.2</v>
      </c>
      <c r="Y77" s="97">
        <f t="shared" si="101"/>
        <v>6914.4</v>
      </c>
      <c r="Z77" s="97">
        <f t="shared" si="101"/>
        <v>0</v>
      </c>
      <c r="AA77" s="97">
        <f t="shared" ref="AA77:AH77" si="102">AA60</f>
        <v>9977.6540738307012</v>
      </c>
      <c r="AB77" s="97">
        <f t="shared" si="102"/>
        <v>0</v>
      </c>
      <c r="AC77" s="97">
        <f t="shared" si="102"/>
        <v>0</v>
      </c>
      <c r="AD77" s="97">
        <f t="shared" si="102"/>
        <v>2893.8618958322681</v>
      </c>
      <c r="AE77" s="97">
        <f t="shared" si="102"/>
        <v>0</v>
      </c>
      <c r="AF77" s="97">
        <f t="shared" si="102"/>
        <v>0</v>
      </c>
      <c r="AG77" s="97">
        <f t="shared" si="102"/>
        <v>0</v>
      </c>
      <c r="AH77" s="97">
        <f t="shared" si="102"/>
        <v>0</v>
      </c>
      <c r="AI77" s="97">
        <f t="shared" ref="AI77" si="103">AI60</f>
        <v>4.3062274694583916E-2</v>
      </c>
      <c r="AK77" s="67">
        <f t="shared" si="99"/>
        <v>46606</v>
      </c>
      <c r="AL77" s="123">
        <v>68821</v>
      </c>
      <c r="AM77" s="111">
        <v>0.33250000000000002</v>
      </c>
      <c r="AN77" s="113">
        <v>0.14119999999999999</v>
      </c>
      <c r="AO77" s="113">
        <v>0.26029999999999998</v>
      </c>
      <c r="AP77" s="13">
        <f t="shared" si="94"/>
        <v>22215</v>
      </c>
      <c r="AQ77" s="13">
        <f t="shared" si="95"/>
        <v>7386.4875000000002</v>
      </c>
      <c r="AR77" s="97">
        <f t="shared" si="100"/>
        <v>19698.159</v>
      </c>
      <c r="AS77" s="114">
        <f>AR76+AM77*(S81-AK77)</f>
        <v>13174.1765</v>
      </c>
      <c r="AT77" s="114">
        <f>AR76+AM77*(T81-AK77)</f>
        <v>71291.851500000004</v>
      </c>
      <c r="AU77" s="115">
        <f>AR76+AM77*(U81-AK77)</f>
        <v>11806.191700000001</v>
      </c>
      <c r="AV77" s="115">
        <f>AR76+AM77*(V81-AK77)</f>
        <v>74032.396300000008</v>
      </c>
      <c r="AW77" s="115">
        <f>AR76+AM77*(W81-AK77)</f>
        <v>13860.4565</v>
      </c>
      <c r="AX77" s="43">
        <f>AS76+AM77*(X81-AK77)</f>
        <v>72698.244000000006</v>
      </c>
      <c r="AY77" s="115">
        <f>AR76+AM77*(Y81-AK77)</f>
        <v>72664.411500000002</v>
      </c>
      <c r="AZ77" s="115">
        <f>AR76+AM77*(Z81-AK77)</f>
        <v>-3184.8235000000004</v>
      </c>
      <c r="BA77" s="115">
        <f>AR76+AM77*(AA81-AK77)</f>
        <v>10199.068415281839</v>
      </c>
      <c r="BB77" s="43">
        <f>AR76+AM77*(AB81-AK77)</f>
        <v>-3184.8235000000004</v>
      </c>
      <c r="BC77" s="43">
        <f>AR76+AM77*(AC81-AK77)</f>
        <v>10115.176500000001</v>
      </c>
      <c r="BD77" s="43">
        <f>AR76+AM77*(AD81-AK77)</f>
        <v>-2708.506069670444</v>
      </c>
      <c r="BE77" s="43">
        <f>AR76+AM77*(AE81-AK77)</f>
        <v>10115.176500000001</v>
      </c>
      <c r="BF77" s="43" t="e">
        <f>AR76+AM77*(AF81-AK77)</f>
        <v>#VALUE!</v>
      </c>
      <c r="BG77" s="43">
        <f>AR76+AM77*(AG81-AK77)</f>
        <v>71291.851500000004</v>
      </c>
      <c r="BH77" s="43">
        <f>AR76+AM77*(AH81-AK77)</f>
        <v>-3184.8235000000004</v>
      </c>
      <c r="BI77" s="43">
        <f>AR76+AM77*(AI81-AK77)</f>
        <v>10115.176500000001</v>
      </c>
      <c r="BJ77" s="115">
        <f>S75*AO77</f>
        <v>0</v>
      </c>
      <c r="BK77" s="147">
        <f>T75*AO77</f>
        <v>0</v>
      </c>
      <c r="BL77" s="115">
        <f>U75*AO77</f>
        <v>0</v>
      </c>
      <c r="BM77" s="115">
        <f>V75*AO77</f>
        <v>0</v>
      </c>
      <c r="BN77" s="115">
        <f>W75*AO77</f>
        <v>0</v>
      </c>
      <c r="BO77" s="115">
        <f>X75*AO77</f>
        <v>0</v>
      </c>
      <c r="BP77" s="43">
        <f>Y75*AO77</f>
        <v>0</v>
      </c>
      <c r="BQ77" s="43">
        <f>Z75*AO77</f>
        <v>26029.999999999996</v>
      </c>
      <c r="BR77" s="43">
        <f>AA75*AO77</f>
        <v>0</v>
      </c>
      <c r="BS77" s="43">
        <f>AB75*AO77</f>
        <v>26029.999999999996</v>
      </c>
      <c r="BT77" s="43">
        <f>AC75*AO77</f>
        <v>0</v>
      </c>
      <c r="BU77" s="43">
        <f>AD75*AO77</f>
        <v>26029.999999999996</v>
      </c>
      <c r="BV77" s="43">
        <f>AE75*AO77</f>
        <v>0</v>
      </c>
      <c r="BW77" s="43">
        <f>AF75*AO77</f>
        <v>0</v>
      </c>
      <c r="BX77" s="43">
        <f>AG75*AO77</f>
        <v>89543.2</v>
      </c>
      <c r="BY77" s="43" t="e">
        <f>AH75*AO77</f>
        <v>#REF!</v>
      </c>
      <c r="BZ77" s="43" t="e">
        <f>AI75*AO77</f>
        <v>#REF!</v>
      </c>
      <c r="CA77" s="44">
        <f>AN77*S77</f>
        <v>0</v>
      </c>
      <c r="CB77" s="44">
        <f>AN77*T77</f>
        <v>0</v>
      </c>
      <c r="CC77" s="44">
        <f>AN77*U77</f>
        <v>976.31327999999985</v>
      </c>
      <c r="CD77" s="44">
        <f>AN77*V77</f>
        <v>0</v>
      </c>
      <c r="CE77" s="44">
        <f>AN77*W77</f>
        <v>488.15663999999992</v>
      </c>
      <c r="CF77" s="44">
        <f>AN77*X77</f>
        <v>488.15663999999992</v>
      </c>
      <c r="CG77" s="44">
        <f>AN77*Y77</f>
        <v>976.31327999999985</v>
      </c>
      <c r="CH77" s="44">
        <f>AN77*Z77</f>
        <v>0</v>
      </c>
      <c r="CI77" s="44">
        <f>AN77*AA77</f>
        <v>1408.8447552248949</v>
      </c>
      <c r="CJ77" s="44">
        <f>AN77*AB77</f>
        <v>0</v>
      </c>
      <c r="CK77" s="44">
        <f>AN77*AC77</f>
        <v>0</v>
      </c>
      <c r="CL77" s="44">
        <f>AN77*AD77</f>
        <v>408.61329969151626</v>
      </c>
      <c r="CM77" s="44">
        <f>AN77*AE77</f>
        <v>0</v>
      </c>
      <c r="CN77" s="44">
        <f>AN77*AF77</f>
        <v>0</v>
      </c>
      <c r="CO77" s="44">
        <f>AN77*AG77</f>
        <v>0</v>
      </c>
      <c r="CP77" s="44">
        <f>AN77*AH77</f>
        <v>0</v>
      </c>
      <c r="CQ77" s="44">
        <f>AN77*AI77</f>
        <v>6.0803931868752487E-3</v>
      </c>
    </row>
    <row r="78" spans="1:116" ht="15" customHeight="1" x14ac:dyDescent="0.25">
      <c r="A78" s="46"/>
      <c r="B78" s="406" t="s">
        <v>276</v>
      </c>
      <c r="C78" s="411">
        <f t="shared" si="60"/>
        <v>496400.70019058214</v>
      </c>
      <c r="D78" s="415">
        <f t="shared" si="61"/>
        <v>234344.02273852294</v>
      </c>
      <c r="E78" s="415">
        <f t="shared" si="62"/>
        <v>9977.6540738307012</v>
      </c>
      <c r="F78" s="419">
        <f t="shared" si="63"/>
        <v>5956.8084022869862</v>
      </c>
      <c r="G78" s="423">
        <f t="shared" si="64"/>
        <v>24820.035009529107</v>
      </c>
      <c r="H78" s="427">
        <f t="shared" si="65"/>
        <v>4.8423900000000002E-3</v>
      </c>
      <c r="I78" s="427">
        <f t="shared" si="66"/>
        <v>4.1579312825456786E-2</v>
      </c>
      <c r="J78" s="402">
        <f t="shared" si="67"/>
        <v>4.6421702825456788E-2</v>
      </c>
      <c r="K78" s="46"/>
      <c r="L78" s="557">
        <v>20</v>
      </c>
      <c r="M78" s="561">
        <f>G139-D108</f>
        <v>143973.22864837156</v>
      </c>
      <c r="N78" s="552">
        <f>F108-D108</f>
        <v>262056.6774520592</v>
      </c>
      <c r="O78" s="46"/>
      <c r="P78" s="46"/>
      <c r="Q78" s="2"/>
      <c r="R78" s="3" t="s">
        <v>39</v>
      </c>
      <c r="S78" s="97">
        <f t="shared" ref="S78:Z78" si="104">S77*1.38</f>
        <v>0</v>
      </c>
      <c r="T78" s="97">
        <f t="shared" si="104"/>
        <v>0</v>
      </c>
      <c r="U78" s="97">
        <f t="shared" si="104"/>
        <v>9541.8719999999994</v>
      </c>
      <c r="V78" s="97">
        <f t="shared" si="104"/>
        <v>0</v>
      </c>
      <c r="W78" s="97">
        <f t="shared" si="104"/>
        <v>4770.9359999999997</v>
      </c>
      <c r="X78" s="97">
        <f t="shared" si="104"/>
        <v>4770.9359999999997</v>
      </c>
      <c r="Y78" s="97">
        <f t="shared" si="104"/>
        <v>9541.8719999999994</v>
      </c>
      <c r="Z78" s="97">
        <f t="shared" si="104"/>
        <v>0</v>
      </c>
      <c r="AA78" s="97">
        <f t="shared" ref="AA78:AH78" si="105">AA77*1.38</f>
        <v>13769.162621886366</v>
      </c>
      <c r="AB78" s="97">
        <f t="shared" si="105"/>
        <v>0</v>
      </c>
      <c r="AC78" s="97">
        <f t="shared" si="105"/>
        <v>0</v>
      </c>
      <c r="AD78" s="97">
        <f t="shared" si="105"/>
        <v>3993.5294162485297</v>
      </c>
      <c r="AE78" s="97">
        <f t="shared" si="105"/>
        <v>0</v>
      </c>
      <c r="AF78" s="97">
        <f t="shared" si="105"/>
        <v>0</v>
      </c>
      <c r="AG78" s="97">
        <f t="shared" si="105"/>
        <v>0</v>
      </c>
      <c r="AH78" s="97">
        <f t="shared" si="105"/>
        <v>0</v>
      </c>
      <c r="AI78" s="97">
        <f t="shared" ref="AI78" si="106">AI77*1.38</f>
        <v>5.9425939078525801E-2</v>
      </c>
      <c r="AK78" s="118">
        <f t="shared" si="99"/>
        <v>68822</v>
      </c>
      <c r="AL78" s="119">
        <v>93208</v>
      </c>
      <c r="AM78" s="120">
        <v>0.379</v>
      </c>
      <c r="AN78" s="122">
        <v>0.20530000000000001</v>
      </c>
      <c r="AO78" s="122">
        <v>0.31419999999999998</v>
      </c>
      <c r="AP78" s="13">
        <f t="shared" si="94"/>
        <v>24386</v>
      </c>
      <c r="AQ78" s="13">
        <f t="shared" si="95"/>
        <v>9242.2939999999999</v>
      </c>
      <c r="AR78" s="97">
        <f t="shared" si="100"/>
        <v>28940.453000000001</v>
      </c>
      <c r="AS78" s="114">
        <f>AR77+AM78*(S81-AK78)</f>
        <v>12261.420999999998</v>
      </c>
      <c r="AT78" s="114">
        <f>AR77+AM78*(T81-AK78)</f>
        <v>78506.831000000006</v>
      </c>
      <c r="AU78" s="115">
        <f>AR77+AM78*(U81-AK78)</f>
        <v>10702.124040000001</v>
      </c>
      <c r="AV78" s="115">
        <f>AR77+AM78*(V81-AK78)</f>
        <v>81630.63996</v>
      </c>
      <c r="AW78" s="115">
        <f>AR77+AM78*(W81-AK78)</f>
        <v>13043.677</v>
      </c>
      <c r="AX78" s="43">
        <f>AR77+AM78*(X81-AK78)</f>
        <v>79289.087</v>
      </c>
      <c r="AY78" s="115">
        <f>AR77+AM78*(Y81-AK78)</f>
        <v>80071.342999999993</v>
      </c>
      <c r="AZ78" s="115">
        <f>AR77+AM78*(Z81-AK78)</f>
        <v>-6385.3790000000008</v>
      </c>
      <c r="BA78" s="115">
        <f>AR77+AM78*(AA81-AK78)</f>
        <v>8870.245168095691</v>
      </c>
      <c r="BB78" s="43">
        <f>AR77+AM78*(AB81-AK78)</f>
        <v>-6385.3790000000008</v>
      </c>
      <c r="BC78" s="43">
        <f>AR77+AM78*(AC81-AK78)</f>
        <v>8774.6209999999992</v>
      </c>
      <c r="BD78" s="43">
        <f>AR77+AM78*(AD81-AK78)</f>
        <v>-5842.4487561055612</v>
      </c>
      <c r="BE78" s="43">
        <f>AR77+AM78*(AE81-AK78)</f>
        <v>8774.6209999999992</v>
      </c>
      <c r="BF78" s="43" t="e">
        <f>AR77+AM78*(AF81-AK78)</f>
        <v>#VALUE!</v>
      </c>
      <c r="BG78" s="43">
        <f>AR77+AM78*(AG81-AK78)</f>
        <v>78506.831000000006</v>
      </c>
      <c r="BH78" s="43">
        <f>AR77+AM78*(AH81-AK78)</f>
        <v>-6385.3790000000008</v>
      </c>
      <c r="BI78" s="43">
        <f>AR77+AM78*(AI81-AK78)</f>
        <v>8774.6209999999992</v>
      </c>
      <c r="BJ78" s="115">
        <f>S75*AO78</f>
        <v>0</v>
      </c>
      <c r="BK78" s="147">
        <f>T75*AO78</f>
        <v>0</v>
      </c>
      <c r="BL78" s="115">
        <f>U75*AO78</f>
        <v>0</v>
      </c>
      <c r="BM78" s="115">
        <f>V75*AO78</f>
        <v>0</v>
      </c>
      <c r="BN78" s="115">
        <f>W75*AO78</f>
        <v>0</v>
      </c>
      <c r="BO78" s="115">
        <f>X75*AP78</f>
        <v>0</v>
      </c>
      <c r="BP78" s="43">
        <f>Y75*AO78</f>
        <v>0</v>
      </c>
      <c r="BQ78" s="43">
        <f>Z75*AO78</f>
        <v>31419.999999999996</v>
      </c>
      <c r="BR78" s="43">
        <f>AA75*AO78</f>
        <v>0</v>
      </c>
      <c r="BS78" s="43">
        <f>AB75*AO78</f>
        <v>31419.999999999996</v>
      </c>
      <c r="BT78" s="43">
        <f>AC75*AO78</f>
        <v>0</v>
      </c>
      <c r="BU78" s="43">
        <f>AD75*AO78</f>
        <v>31419.999999999996</v>
      </c>
      <c r="BV78" s="43">
        <f>AE75*AO78</f>
        <v>0</v>
      </c>
      <c r="BW78" s="43">
        <f>AF75*AO78</f>
        <v>0</v>
      </c>
      <c r="BX78" s="43">
        <f>AG75*AO78</f>
        <v>108084.79999999999</v>
      </c>
      <c r="BY78" s="43" t="e">
        <f>AH75*AO78</f>
        <v>#REF!</v>
      </c>
      <c r="BZ78" s="43" t="e">
        <f>AI75*AO78</f>
        <v>#REF!</v>
      </c>
      <c r="CA78" s="44">
        <f>AN78*S77</f>
        <v>0</v>
      </c>
      <c r="CB78" s="44">
        <f>AN78*T77</f>
        <v>0</v>
      </c>
      <c r="CC78" s="44">
        <f>AN78*U77</f>
        <v>1419.5263199999999</v>
      </c>
      <c r="CD78" s="44">
        <f>AN78*V77</f>
        <v>0</v>
      </c>
      <c r="CE78" s="44">
        <f>AN78*W77</f>
        <v>709.76315999999997</v>
      </c>
      <c r="CF78" s="44">
        <f>AN78*X77</f>
        <v>709.76315999999997</v>
      </c>
      <c r="CG78" s="44">
        <f>AN78*Y77</f>
        <v>1419.5263199999999</v>
      </c>
      <c r="CH78" s="44">
        <f>AN78*Z77</f>
        <v>0</v>
      </c>
      <c r="CI78" s="44">
        <f>AN78*AA77</f>
        <v>2048.4123813574429</v>
      </c>
      <c r="CJ78" s="44">
        <f>AN78*AB77</f>
        <v>0</v>
      </c>
      <c r="CK78" s="44">
        <f>AN78*AC77</f>
        <v>0</v>
      </c>
      <c r="CL78" s="44">
        <f>AN78*AD77</f>
        <v>594.10984721436466</v>
      </c>
      <c r="CM78" s="44">
        <f>AN78*AE77</f>
        <v>0</v>
      </c>
      <c r="CN78" s="44">
        <f>AN78*AF77</f>
        <v>0</v>
      </c>
      <c r="CO78" s="44">
        <f>AN78*AG77</f>
        <v>0</v>
      </c>
      <c r="CP78" s="44">
        <f>AN78*AH77</f>
        <v>0</v>
      </c>
      <c r="CQ78" s="44">
        <f>AN78*AI77</f>
        <v>8.8406849947980787E-3</v>
      </c>
    </row>
    <row r="79" spans="1:116" ht="15" customHeight="1" x14ac:dyDescent="0.25">
      <c r="A79" s="46"/>
      <c r="B79" s="407" t="s">
        <v>278</v>
      </c>
      <c r="C79" s="410">
        <f t="shared" si="60"/>
        <v>504183.41788582143</v>
      </c>
      <c r="D79" s="414">
        <f t="shared" si="61"/>
        <v>229657.14228375247</v>
      </c>
      <c r="E79" s="414">
        <f t="shared" si="62"/>
        <v>10134.086699505011</v>
      </c>
      <c r="F79" s="418">
        <f t="shared" si="63"/>
        <v>6050.2010146298571</v>
      </c>
      <c r="G79" s="422">
        <f t="shared" si="64"/>
        <v>25209.170894291074</v>
      </c>
      <c r="H79" s="426">
        <f t="shared" si="65"/>
        <v>4.8423899999999994E-3</v>
      </c>
      <c r="I79" s="426">
        <f t="shared" si="66"/>
        <v>4.0937482804470543E-2</v>
      </c>
      <c r="J79" s="401">
        <f t="shared" si="67"/>
        <v>4.5779872804470545E-2</v>
      </c>
      <c r="K79" s="46"/>
      <c r="L79" s="405">
        <v>21</v>
      </c>
      <c r="M79" s="560">
        <f>G140-D109</f>
        <v>146091.96858367769</v>
      </c>
      <c r="N79" s="89">
        <f>F109-D109</f>
        <v>274526.27560206898</v>
      </c>
      <c r="O79" s="46"/>
      <c r="P79" s="46"/>
      <c r="Q79" s="2"/>
      <c r="R79" s="3" t="s">
        <v>40</v>
      </c>
      <c r="S79" s="97">
        <f t="shared" ref="S79:Z80" si="107">S62</f>
        <v>0</v>
      </c>
      <c r="T79" s="97">
        <f t="shared" si="107"/>
        <v>0</v>
      </c>
      <c r="U79" s="97">
        <f t="shared" si="107"/>
        <v>0</v>
      </c>
      <c r="V79" s="97">
        <f t="shared" si="107"/>
        <v>0</v>
      </c>
      <c r="W79" s="97">
        <f t="shared" si="107"/>
        <v>0</v>
      </c>
      <c r="X79" s="97">
        <f t="shared" si="107"/>
        <v>0</v>
      </c>
      <c r="Y79" s="97">
        <f t="shared" si="107"/>
        <v>0</v>
      </c>
      <c r="Z79" s="97">
        <f t="shared" si="107"/>
        <v>0</v>
      </c>
      <c r="AA79" s="97">
        <f t="shared" ref="AA79:AH80" si="108">AA62</f>
        <v>504.6130242516665</v>
      </c>
      <c r="AB79" s="97">
        <f t="shared" si="108"/>
        <v>0</v>
      </c>
      <c r="AC79" s="97">
        <f t="shared" si="108"/>
        <v>0</v>
      </c>
      <c r="AD79" s="97">
        <f t="shared" si="108"/>
        <v>2865.0672501025942</v>
      </c>
      <c r="AE79" s="97">
        <f t="shared" si="108"/>
        <v>0</v>
      </c>
      <c r="AF79" s="97" t="str">
        <f t="shared" si="108"/>
        <v>Total Drag</v>
      </c>
      <c r="AG79" s="97">
        <f t="shared" si="108"/>
        <v>0</v>
      </c>
      <c r="AH79" s="97">
        <f t="shared" si="108"/>
        <v>0</v>
      </c>
      <c r="AI79" s="97">
        <f t="shared" ref="AI79" si="109">AI62</f>
        <v>0</v>
      </c>
      <c r="AK79" s="67">
        <f t="shared" si="99"/>
        <v>93209</v>
      </c>
      <c r="AL79" s="123">
        <v>144489</v>
      </c>
      <c r="AM79" s="111">
        <v>0.434</v>
      </c>
      <c r="AN79" s="113">
        <v>0.28120000000000001</v>
      </c>
      <c r="AO79" s="113">
        <v>0.378</v>
      </c>
      <c r="AP79" s="13">
        <f>AL79-AK79</f>
        <v>51280</v>
      </c>
      <c r="AQ79" s="13">
        <f>AP79*AM79</f>
        <v>22255.52</v>
      </c>
      <c r="AR79" s="97">
        <f>AR78+AQ79</f>
        <v>51195.972999999998</v>
      </c>
      <c r="AS79" s="114">
        <f>AR78+AM79*(S81-AK79)</f>
        <v>9840.5470000000023</v>
      </c>
      <c r="AT79" s="114">
        <f>AR78+AM79*(T81-AK79)</f>
        <v>85699.407000000007</v>
      </c>
      <c r="AU79" s="115">
        <f>AR78+AM79*(U81-AK79)</f>
        <v>8054.966840000001</v>
      </c>
      <c r="AV79" s="115">
        <f>AR78+AM79*(V81-AK79)</f>
        <v>89276.53916</v>
      </c>
      <c r="AW79" s="115">
        <f>AR78+AM79*(W81-AK79)</f>
        <v>10736.323</v>
      </c>
      <c r="AX79" s="43">
        <f>AR78+AM79*(X81-AK79)</f>
        <v>86595.183000000005</v>
      </c>
      <c r="AY79" s="115">
        <f>AR78+AM79*(Y81-AK79)</f>
        <v>87490.959000000003</v>
      </c>
      <c r="AZ79" s="115">
        <f>AR78+AM79*(Z81-AK79)</f>
        <v>-11512.252999999997</v>
      </c>
      <c r="BA79" s="115">
        <f>AR78+AM79*(AA81-AK79)</f>
        <v>5957.2480262626123</v>
      </c>
      <c r="BB79" s="43">
        <f>AR78+AM79*(AB81-AK79)</f>
        <v>-11512.252999999997</v>
      </c>
      <c r="BC79" s="43">
        <f>AR78+AM79*(AC81-AK79)</f>
        <v>5847.747000000003</v>
      </c>
      <c r="BD79" s="43">
        <f>AR78+AM79*(AD81-AK79)</f>
        <v>-10890.533406727736</v>
      </c>
      <c r="BE79" s="43">
        <f>AR78+AM79*(AE81-AK79)</f>
        <v>5847.747000000003</v>
      </c>
      <c r="BF79" s="43" t="e">
        <f>AR78+AM79*(AF81-AK79)</f>
        <v>#VALUE!</v>
      </c>
      <c r="BG79" s="43">
        <f>AR78+AM79*(AG81-AK79)</f>
        <v>85699.407000000007</v>
      </c>
      <c r="BH79" s="43">
        <f>AR78+AM79*(AH81-AK79)</f>
        <v>-11512.252999999997</v>
      </c>
      <c r="BI79" s="43">
        <f>AR78+AM79*(AI81-AK79)</f>
        <v>5847.747000000003</v>
      </c>
      <c r="BJ79" s="115">
        <f>S75*AO79</f>
        <v>0</v>
      </c>
      <c r="BK79" s="115">
        <f>T75*AO79</f>
        <v>0</v>
      </c>
      <c r="BL79" s="115">
        <f>U75*AO79</f>
        <v>0</v>
      </c>
      <c r="BM79" s="115">
        <f>V75*AO79</f>
        <v>0</v>
      </c>
      <c r="BN79" s="115">
        <f>W75*AO79</f>
        <v>0</v>
      </c>
      <c r="BO79" s="115">
        <f>X75*AO79</f>
        <v>0</v>
      </c>
      <c r="BP79" s="43">
        <f>Y75*AO79</f>
        <v>0</v>
      </c>
      <c r="BQ79" s="43">
        <f>Z75*AO79</f>
        <v>37800</v>
      </c>
      <c r="BR79" s="43">
        <f>AA75*AO79</f>
        <v>0</v>
      </c>
      <c r="BS79" s="43">
        <f>AB75*AO79</f>
        <v>37800</v>
      </c>
      <c r="BT79" s="43">
        <f>AC75*AO79</f>
        <v>0</v>
      </c>
      <c r="BU79" s="43">
        <f>AD75*AO79</f>
        <v>37800</v>
      </c>
      <c r="BV79" s="43">
        <f>AE75*AO79</f>
        <v>0</v>
      </c>
      <c r="BW79" s="43">
        <f>AF75*AO79</f>
        <v>0</v>
      </c>
      <c r="BX79" s="43">
        <f>AG75*AO79</f>
        <v>130032</v>
      </c>
      <c r="BY79" s="43" t="e">
        <f>AH75*AO79</f>
        <v>#REF!</v>
      </c>
      <c r="BZ79" s="43" t="e">
        <f>AI75*AO79</f>
        <v>#REF!</v>
      </c>
      <c r="CA79" s="44">
        <f>AN79*S77</f>
        <v>0</v>
      </c>
      <c r="CB79" s="44">
        <f>AN79*T77</f>
        <v>0</v>
      </c>
      <c r="CC79" s="44">
        <f>AN79*U77</f>
        <v>1944.3292799999999</v>
      </c>
      <c r="CD79" s="44">
        <f>AN79*V77</f>
        <v>0</v>
      </c>
      <c r="CE79" s="44">
        <f>AN79*W77</f>
        <v>972.16463999999996</v>
      </c>
      <c r="CF79" s="44">
        <f>AN79*X77</f>
        <v>972.16463999999996</v>
      </c>
      <c r="CG79" s="44">
        <f>AN79*Y77</f>
        <v>1944.3292799999999</v>
      </c>
      <c r="CH79" s="44">
        <f>AN79*Z77</f>
        <v>0</v>
      </c>
      <c r="CI79" s="44">
        <f>AN79*AA77</f>
        <v>2805.7163255611931</v>
      </c>
      <c r="CJ79" s="44">
        <f>AN79*AB77</f>
        <v>0</v>
      </c>
      <c r="CK79" s="44">
        <f>AN79*AC77</f>
        <v>0</v>
      </c>
      <c r="CL79" s="44">
        <f>AN79*AD77</f>
        <v>813.75396510803387</v>
      </c>
      <c r="CM79" s="44">
        <f>AN79*AE77</f>
        <v>0</v>
      </c>
      <c r="CN79" s="44">
        <f>AN79*AF77</f>
        <v>0</v>
      </c>
      <c r="CO79" s="44">
        <f>AN79*AG77</f>
        <v>0</v>
      </c>
      <c r="CP79" s="44">
        <f>AN79*AH77</f>
        <v>0</v>
      </c>
      <c r="CQ79" s="44">
        <f>AN79*AI77</f>
        <v>1.2109111644116998E-2</v>
      </c>
    </row>
    <row r="80" spans="1:116" ht="15" customHeight="1" x14ac:dyDescent="0.25">
      <c r="A80" s="46"/>
      <c r="B80" s="406" t="s">
        <v>279</v>
      </c>
      <c r="C80" s="411">
        <f t="shared" si="60"/>
        <v>512411.75539559481</v>
      </c>
      <c r="D80" s="415">
        <f t="shared" si="61"/>
        <v>225063.99943807742</v>
      </c>
      <c r="E80" s="415">
        <f t="shared" si="62"/>
        <v>10299.476283451455</v>
      </c>
      <c r="F80" s="419">
        <f t="shared" si="63"/>
        <v>6148.9410647471377</v>
      </c>
      <c r="G80" s="423">
        <f t="shared" si="64"/>
        <v>25620.58776977974</v>
      </c>
      <c r="H80" s="427">
        <f t="shared" si="65"/>
        <v>4.8423899999999994E-3</v>
      </c>
      <c r="I80" s="427">
        <f t="shared" si="66"/>
        <v>4.0280106345463133E-2</v>
      </c>
      <c r="J80" s="402">
        <f t="shared" si="67"/>
        <v>4.5122496345463135E-2</v>
      </c>
      <c r="K80" s="46"/>
      <c r="L80" s="557">
        <v>22</v>
      </c>
      <c r="M80" s="561">
        <f>G141-D110</f>
        <v>147994.2932513257</v>
      </c>
      <c r="N80" s="552">
        <f>F110-D110</f>
        <v>287347.75595751742</v>
      </c>
      <c r="O80" s="46"/>
      <c r="P80" s="46"/>
      <c r="Q80" s="2"/>
      <c r="R80" s="3" t="s">
        <v>41</v>
      </c>
      <c r="S80" s="97">
        <f t="shared" si="107"/>
        <v>0</v>
      </c>
      <c r="T80" s="97">
        <f t="shared" si="107"/>
        <v>0</v>
      </c>
      <c r="U80" s="97">
        <f t="shared" si="107"/>
        <v>0</v>
      </c>
      <c r="V80" s="97">
        <f t="shared" si="107"/>
        <v>0</v>
      </c>
      <c r="W80" s="97">
        <f t="shared" si="107"/>
        <v>0</v>
      </c>
      <c r="X80" s="97">
        <f t="shared" si="107"/>
        <v>0</v>
      </c>
      <c r="Y80" s="97">
        <f t="shared" si="107"/>
        <v>0</v>
      </c>
      <c r="Z80" s="97">
        <f t="shared" si="107"/>
        <v>0</v>
      </c>
      <c r="AA80" s="97">
        <f t="shared" si="108"/>
        <v>252.30651212583325</v>
      </c>
      <c r="AB80" s="97">
        <f t="shared" si="108"/>
        <v>0</v>
      </c>
      <c r="AC80" s="97">
        <f t="shared" si="108"/>
        <v>0</v>
      </c>
      <c r="AD80" s="97">
        <f t="shared" si="108"/>
        <v>1432.5336250512971</v>
      </c>
      <c r="AE80" s="97">
        <f t="shared" si="108"/>
        <v>0</v>
      </c>
      <c r="AF80" s="97" t="e">
        <f t="shared" si="108"/>
        <v>#VALUE!</v>
      </c>
      <c r="AG80" s="97">
        <f t="shared" si="108"/>
        <v>0</v>
      </c>
      <c r="AH80" s="97">
        <f t="shared" si="108"/>
        <v>0</v>
      </c>
      <c r="AI80" s="97">
        <f t="shared" ref="AI80" si="110">AI63</f>
        <v>0</v>
      </c>
      <c r="AJ80" s="16" t="s">
        <v>67</v>
      </c>
      <c r="AK80" s="118">
        <f t="shared" si="99"/>
        <v>144490</v>
      </c>
      <c r="AL80" s="119">
        <v>205842</v>
      </c>
      <c r="AM80" s="120">
        <v>0.46400000000000002</v>
      </c>
      <c r="AN80" s="122">
        <v>0.3226</v>
      </c>
      <c r="AO80" s="122">
        <v>0.4128</v>
      </c>
      <c r="AP80" s="13">
        <f t="shared" si="94"/>
        <v>61352</v>
      </c>
      <c r="AQ80" s="13">
        <f t="shared" si="95"/>
        <v>28467.328000000001</v>
      </c>
      <c r="AR80" s="97">
        <f t="shared" si="100"/>
        <v>79663.301000000007</v>
      </c>
      <c r="AS80" s="114">
        <f>AR79+AM80*(S81-AK80)</f>
        <v>6981.4129999999932</v>
      </c>
      <c r="AT80" s="114">
        <f>AR79+AM80*(T81-AK80)</f>
        <v>88083.972999999998</v>
      </c>
      <c r="AU80" s="115">
        <f>AR79+AM80*(U81-AK80)</f>
        <v>5072.4056399999972</v>
      </c>
      <c r="AV80" s="115">
        <f>AR79+AM80*(V81-AK80)</f>
        <v>91908.372359999994</v>
      </c>
      <c r="AW80" s="115">
        <f>AR79+AM80*(W81-AK80)</f>
        <v>7939.1089999999967</v>
      </c>
      <c r="AX80" s="43">
        <f>AR79+AM80*(X81-AK80)</f>
        <v>89041.668999999994</v>
      </c>
      <c r="AY80" s="115">
        <f>AR79+AM80*(Y81-AK80)</f>
        <v>89999.364999999991</v>
      </c>
      <c r="AZ80" s="115">
        <f>AR79+AM80*(Z81-AK80)</f>
        <v>-15847.387000000002</v>
      </c>
      <c r="BA80" s="115">
        <f>AR79+AM80*(AA81-AK80)</f>
        <v>2829.6832216263792</v>
      </c>
      <c r="BB80" s="43">
        <f>AR79+AM80*(AB81-AK80)</f>
        <v>-15847.387000000002</v>
      </c>
      <c r="BC80" s="43">
        <f>AR79+AM80*(AC81-AK80)</f>
        <v>2712.6129999999976</v>
      </c>
      <c r="BD80" s="43">
        <f>AR79+AM80*(AD81-AK80)</f>
        <v>-15182.691397976203</v>
      </c>
      <c r="BE80" s="43">
        <f>AR79+AM80*(AE81-AK80)</f>
        <v>2712.6129999999976</v>
      </c>
      <c r="BF80" s="43" t="e">
        <f>AR79+AM80*(AF81-AK80)</f>
        <v>#VALUE!</v>
      </c>
      <c r="BG80" s="43">
        <f>AR79+AM80*(AG81-AK80)</f>
        <v>88083.972999999998</v>
      </c>
      <c r="BH80" s="43">
        <f>AR79+AM80*(AH81-AK80)</f>
        <v>-15847.387000000002</v>
      </c>
      <c r="BI80" s="43">
        <f>AR79+AM80*(AI81-AK80)</f>
        <v>2712.6129999999976</v>
      </c>
      <c r="BJ80" s="115">
        <f>S75*AO80</f>
        <v>0</v>
      </c>
      <c r="BK80" s="147">
        <f>T75*AO80</f>
        <v>0</v>
      </c>
      <c r="BL80" s="115">
        <f>U75*AO80</f>
        <v>0</v>
      </c>
      <c r="BM80" s="115">
        <f>V75*AO80</f>
        <v>0</v>
      </c>
      <c r="BN80" s="115">
        <f>W75*AO80</f>
        <v>0</v>
      </c>
      <c r="BO80" s="115">
        <f>X75*AO80</f>
        <v>0</v>
      </c>
      <c r="BP80" s="43">
        <f>Y75*AO80</f>
        <v>0</v>
      </c>
      <c r="BQ80" s="43">
        <f>Z75*AO80</f>
        <v>41280</v>
      </c>
      <c r="BR80" s="43">
        <f>AA75*AO80</f>
        <v>0</v>
      </c>
      <c r="BS80" s="43">
        <f>AB75*AO80</f>
        <v>41280</v>
      </c>
      <c r="BT80" s="43">
        <f>AC75*AO80</f>
        <v>0</v>
      </c>
      <c r="BU80" s="43">
        <f>AD75*AO80</f>
        <v>41280</v>
      </c>
      <c r="BV80" s="43">
        <f>AE75*AO80</f>
        <v>0</v>
      </c>
      <c r="BW80" s="43">
        <f>AF75*AO80</f>
        <v>0</v>
      </c>
      <c r="BX80" s="43">
        <f>AG75*AO80</f>
        <v>142003.20000000001</v>
      </c>
      <c r="BY80" s="43" t="e">
        <f>AH75*AO80</f>
        <v>#REF!</v>
      </c>
      <c r="BZ80" s="43" t="e">
        <f>AI75*AO80</f>
        <v>#REF!</v>
      </c>
      <c r="CA80" s="44">
        <f>AN80*S77</f>
        <v>0</v>
      </c>
      <c r="CB80" s="44">
        <f>AN80*T77</f>
        <v>0</v>
      </c>
      <c r="CC80" s="44">
        <f>AN80*U77</f>
        <v>2230.5854399999998</v>
      </c>
      <c r="CD80" s="44">
        <f>AN80*V77</f>
        <v>0</v>
      </c>
      <c r="CE80" s="44">
        <f>AN80*W77</f>
        <v>1115.2927199999999</v>
      </c>
      <c r="CF80" s="44">
        <f>AN80*X77</f>
        <v>1115.2927199999999</v>
      </c>
      <c r="CG80" s="44">
        <f>AN80*Y77</f>
        <v>2230.5854399999998</v>
      </c>
      <c r="CH80" s="44">
        <f>AN80*Z77</f>
        <v>0</v>
      </c>
      <c r="CI80" s="44">
        <f>AN80*AA77</f>
        <v>3218.7912042177841</v>
      </c>
      <c r="CJ80" s="44">
        <f>AN80*AB77</f>
        <v>0</v>
      </c>
      <c r="CK80" s="44">
        <f>AN80*AC77</f>
        <v>0</v>
      </c>
      <c r="CL80" s="44">
        <f>AN80*AD77</f>
        <v>933.55984759548971</v>
      </c>
      <c r="CM80" s="44">
        <f>AN80*AE77</f>
        <v>0</v>
      </c>
      <c r="CN80" s="44">
        <f>AN80*AF77</f>
        <v>0</v>
      </c>
      <c r="CO80" s="44">
        <f>AN80*AG77</f>
        <v>0</v>
      </c>
      <c r="CP80" s="44">
        <f>AN80*AH77</f>
        <v>0</v>
      </c>
      <c r="CQ80" s="44">
        <f>AN80*AI77</f>
        <v>1.3891889816472771E-2</v>
      </c>
    </row>
    <row r="81" spans="1:116" ht="15" customHeight="1" x14ac:dyDescent="0.25">
      <c r="A81" s="46"/>
      <c r="B81" s="407" t="s">
        <v>280</v>
      </c>
      <c r="C81" s="410">
        <f t="shared" si="60"/>
        <v>521111.22784545115</v>
      </c>
      <c r="D81" s="414">
        <f t="shared" si="61"/>
        <v>220562.71944931586</v>
      </c>
      <c r="E81" s="414">
        <f t="shared" si="62"/>
        <v>10474.335679693568</v>
      </c>
      <c r="F81" s="418">
        <f t="shared" si="63"/>
        <v>6253.3347341454137</v>
      </c>
      <c r="G81" s="422">
        <f t="shared" si="64"/>
        <v>26055.561392272561</v>
      </c>
      <c r="H81" s="426">
        <f t="shared" si="65"/>
        <v>4.8423899999999994E-3</v>
      </c>
      <c r="I81" s="426">
        <f t="shared" si="66"/>
        <v>3.9607667033651629E-2</v>
      </c>
      <c r="J81" s="401">
        <f t="shared" si="67"/>
        <v>4.4450057033651631E-2</v>
      </c>
      <c r="K81" s="46"/>
      <c r="L81" s="405">
        <v>23</v>
      </c>
      <c r="M81" s="560">
        <f>G142-D111</f>
        <v>149676.21720706491</v>
      </c>
      <c r="N81" s="89">
        <f>F111-D111</f>
        <v>300548.50839613529</v>
      </c>
      <c r="O81" s="46"/>
      <c r="P81" s="46"/>
      <c r="Q81" s="2"/>
      <c r="R81" s="14" t="s">
        <v>43</v>
      </c>
      <c r="S81" s="130">
        <f t="shared" ref="S81:Z81" si="111">S72-S73+S80</f>
        <v>49200</v>
      </c>
      <c r="T81" s="130">
        <f t="shared" si="111"/>
        <v>223990</v>
      </c>
      <c r="U81" s="130">
        <f t="shared" si="111"/>
        <v>45085.760000000002</v>
      </c>
      <c r="V81" s="130">
        <f t="shared" si="111"/>
        <v>232232.24</v>
      </c>
      <c r="W81" s="130">
        <f t="shared" si="111"/>
        <v>51264</v>
      </c>
      <c r="X81" s="130">
        <f t="shared" si="111"/>
        <v>226054</v>
      </c>
      <c r="Y81" s="130">
        <f t="shared" si="111"/>
        <v>228118</v>
      </c>
      <c r="Z81" s="130">
        <f t="shared" si="111"/>
        <v>0</v>
      </c>
      <c r="AA81" s="130">
        <f t="shared" ref="AA81:AH81" si="112">AA72-AA73+AA80</f>
        <v>40252.306512125833</v>
      </c>
      <c r="AB81" s="130">
        <f t="shared" si="112"/>
        <v>0</v>
      </c>
      <c r="AC81" s="130">
        <f t="shared" si="112"/>
        <v>40000</v>
      </c>
      <c r="AD81" s="130">
        <f t="shared" si="112"/>
        <v>1432.5336250512971</v>
      </c>
      <c r="AE81" s="130">
        <f t="shared" si="112"/>
        <v>40000</v>
      </c>
      <c r="AF81" s="130" t="e">
        <f t="shared" si="112"/>
        <v>#VALUE!</v>
      </c>
      <c r="AG81" s="130">
        <f t="shared" si="112"/>
        <v>223990</v>
      </c>
      <c r="AH81" s="130">
        <f t="shared" si="112"/>
        <v>0</v>
      </c>
      <c r="AI81" s="130">
        <f t="shared" ref="AI81" si="113">AI72-AI73+AI80</f>
        <v>40000</v>
      </c>
      <c r="AJ81">
        <f>IF(S81&lt;AL75,AM75,IF(S81&lt;AL76,AM76,IF(S81&lt;AL77,AM77,IF(S81&lt;AL78,AM78,IF(S81&lt;AL79,AM79,IF(S81&lt;AL80,AM80,AM81))))))</f>
        <v>0.33250000000000002</v>
      </c>
      <c r="AK81" s="67">
        <f t="shared" si="99"/>
        <v>205843</v>
      </c>
      <c r="AL81" s="123">
        <v>205843</v>
      </c>
      <c r="AM81" s="111">
        <v>0.504</v>
      </c>
      <c r="AN81" s="113">
        <v>0.37780000000000002</v>
      </c>
      <c r="AO81" s="113">
        <v>0.4592</v>
      </c>
      <c r="AP81" s="13">
        <f>S82-AK81</f>
        <v>-156643</v>
      </c>
      <c r="AQ81" s="13">
        <f t="shared" si="95"/>
        <v>-78948.072</v>
      </c>
      <c r="AR81" s="97">
        <f t="shared" si="100"/>
        <v>715.22900000000664</v>
      </c>
      <c r="AS81" s="114">
        <f>AR80+AM81*(S81-AK81)</f>
        <v>715.22900000000664</v>
      </c>
      <c r="AT81" s="114">
        <f>AR80+AM81*(T81-AK81)</f>
        <v>88809.38900000001</v>
      </c>
      <c r="AU81" s="115">
        <f>AR80+AM81*(U81-AK81)</f>
        <v>-1358.3479599999846</v>
      </c>
      <c r="AV81" s="115">
        <f>AR80+AM81*(V81-AK81)</f>
        <v>92963.477960000004</v>
      </c>
      <c r="AW81" s="115">
        <f>AR80+AM81*(W81-AK81)</f>
        <v>1755.4850000000006</v>
      </c>
      <c r="AX81" s="43">
        <f>AR80+AM81*(X81-AK81)</f>
        <v>89849.645000000004</v>
      </c>
      <c r="AY81" s="115">
        <f>AR80+AM81*(Y81-AK81)</f>
        <v>90889.901000000013</v>
      </c>
      <c r="AZ81" s="115">
        <f>AR80+AM81*(Z81-AK81)</f>
        <v>-24081.570999999996</v>
      </c>
      <c r="BA81" s="115">
        <f>AR80+AM81*(AA81-AK81)</f>
        <v>-3794.4085178885725</v>
      </c>
      <c r="BB81" s="43">
        <f>AR80+AM81*(AB81-AK81)</f>
        <v>-24081.570999999996</v>
      </c>
      <c r="BC81" s="43">
        <f>AR80+AM81*(AC81-AK81)</f>
        <v>-3921.5709999999963</v>
      </c>
      <c r="BD81" s="43">
        <f>AR80+AM81*(AD81-AK81)</f>
        <v>-23359.574052974145</v>
      </c>
      <c r="BE81" s="43">
        <f>AR80+AM81*(AE81-AK81)</f>
        <v>-3921.5709999999963</v>
      </c>
      <c r="BF81" s="43" t="e">
        <f>AR80+AM81*(AF81-AK81)</f>
        <v>#VALUE!</v>
      </c>
      <c r="BG81" s="43">
        <f>AR80+AM81*(AG81-AK81)</f>
        <v>88809.38900000001</v>
      </c>
      <c r="BH81" s="43">
        <f>AR80+AM81*(AH81-AK81)</f>
        <v>-24081.570999999996</v>
      </c>
      <c r="BI81" s="43">
        <f>AR80+AM81*(AI81-AK81)</f>
        <v>-3921.5709999999963</v>
      </c>
      <c r="BJ81" s="115">
        <f>S75*AO81</f>
        <v>0</v>
      </c>
      <c r="BK81" s="147">
        <f>T75*AO81</f>
        <v>0</v>
      </c>
      <c r="BL81" s="115">
        <f>U75*AO81</f>
        <v>0</v>
      </c>
      <c r="BM81" s="115">
        <f>V75*AO81</f>
        <v>0</v>
      </c>
      <c r="BN81" s="115">
        <f>W75*AO81</f>
        <v>0</v>
      </c>
      <c r="BO81" s="115">
        <f>X75*AO81</f>
        <v>0</v>
      </c>
      <c r="BP81" s="43">
        <f>Y75*AO81</f>
        <v>0</v>
      </c>
      <c r="BQ81" s="43">
        <f>Z75*AO81</f>
        <v>45920</v>
      </c>
      <c r="BR81" s="43">
        <f>AA75*AO81</f>
        <v>0</v>
      </c>
      <c r="BS81" s="43">
        <f>AB75*AO81</f>
        <v>45920</v>
      </c>
      <c r="BT81" s="43">
        <f>AC75*AO81</f>
        <v>0</v>
      </c>
      <c r="BU81" s="43">
        <f>AD75*AO81</f>
        <v>45920</v>
      </c>
      <c r="BV81" s="43">
        <f>AE75*AO81</f>
        <v>0</v>
      </c>
      <c r="BW81" s="43">
        <f>AF75*AO81</f>
        <v>0</v>
      </c>
      <c r="BX81" s="43">
        <f>AG75*AO81</f>
        <v>157964.79999999999</v>
      </c>
      <c r="BY81" s="43" t="e">
        <f>AH75*AO81</f>
        <v>#REF!</v>
      </c>
      <c r="BZ81" s="43" t="e">
        <f>AI75*AO81</f>
        <v>#REF!</v>
      </c>
      <c r="CA81" s="44">
        <f>AN81*S77</f>
        <v>0</v>
      </c>
      <c r="CB81" s="44">
        <f>AN81*T77</f>
        <v>0</v>
      </c>
      <c r="CC81" s="44">
        <f>AN81*U77</f>
        <v>2612.2603199999999</v>
      </c>
      <c r="CD81" s="44">
        <f>AN81*V77</f>
        <v>0</v>
      </c>
      <c r="CE81" s="44">
        <f>AN81*W77</f>
        <v>1306.1301599999999</v>
      </c>
      <c r="CF81" s="44">
        <f>AN81*X77</f>
        <v>1306.1301599999999</v>
      </c>
      <c r="CG81" s="44">
        <f>AN81*Y77</f>
        <v>2612.2603199999999</v>
      </c>
      <c r="CH81" s="44">
        <f>AN81*Z77</f>
        <v>0</v>
      </c>
      <c r="CI81" s="44">
        <f>AN81*AA77</f>
        <v>3769.5577090932393</v>
      </c>
      <c r="CJ81" s="44">
        <f>AN81*AB77</f>
        <v>0</v>
      </c>
      <c r="CK81" s="44">
        <f>AN81*AC77</f>
        <v>0</v>
      </c>
      <c r="CL81" s="44">
        <f>AN81*AD77</f>
        <v>1093.3010242454309</v>
      </c>
      <c r="CM81" s="44">
        <f>AN81*AE77</f>
        <v>0</v>
      </c>
      <c r="CN81" s="44">
        <f>AN81*AF77</f>
        <v>0</v>
      </c>
      <c r="CO81" s="44">
        <f>AN81*AG77</f>
        <v>0</v>
      </c>
      <c r="CP81" s="44">
        <f>AN81*AH77</f>
        <v>0</v>
      </c>
      <c r="CQ81" s="44">
        <f>AN81*AI77</f>
        <v>1.6268927379613805E-2</v>
      </c>
    </row>
    <row r="82" spans="1:116" ht="15" customHeight="1" x14ac:dyDescent="0.25">
      <c r="A82" s="46"/>
      <c r="B82" s="406" t="s">
        <v>281</v>
      </c>
      <c r="C82" s="411">
        <f t="shared" si="60"/>
        <v>530308.81129604718</v>
      </c>
      <c r="D82" s="415">
        <f t="shared" si="61"/>
        <v>216151.46506032953</v>
      </c>
      <c r="E82" s="415">
        <f t="shared" si="62"/>
        <v>10659.207107050548</v>
      </c>
      <c r="F82" s="419">
        <f t="shared" si="63"/>
        <v>6363.7057355525667</v>
      </c>
      <c r="G82" s="423">
        <f t="shared" si="64"/>
        <v>26515.44056480236</v>
      </c>
      <c r="H82" s="427">
        <f t="shared" si="65"/>
        <v>4.8423900000000002E-3</v>
      </c>
      <c r="I82" s="427">
        <f t="shared" si="66"/>
        <v>3.8920718570670004E-2</v>
      </c>
      <c r="J82" s="402">
        <f t="shared" si="67"/>
        <v>4.3763108570670006E-2</v>
      </c>
      <c r="K82" s="46"/>
      <c r="L82" s="557">
        <v>24</v>
      </c>
      <c r="M82" s="561">
        <f>G143-D112</f>
        <v>151133.43757552607</v>
      </c>
      <c r="N82" s="552">
        <f>F112-D112</f>
        <v>314157.34623571765</v>
      </c>
      <c r="O82" s="46"/>
      <c r="P82" s="46"/>
      <c r="Q82" s="2"/>
      <c r="R82" s="3" t="s">
        <v>45</v>
      </c>
      <c r="S82" s="97">
        <f t="shared" ref="S82:Z82" si="114">(S72-S73)+S76+S78+S80</f>
        <v>49200</v>
      </c>
      <c r="T82" s="135">
        <f t="shared" si="114"/>
        <v>223990</v>
      </c>
      <c r="U82" s="97">
        <f t="shared" si="114"/>
        <v>54627.631999999998</v>
      </c>
      <c r="V82" s="135">
        <f t="shared" si="114"/>
        <v>232232.24</v>
      </c>
      <c r="W82" s="97">
        <f t="shared" si="114"/>
        <v>56034.936000000002</v>
      </c>
      <c r="X82" s="135">
        <f t="shared" si="114"/>
        <v>230824.93599999999</v>
      </c>
      <c r="Y82" s="135">
        <f t="shared" si="114"/>
        <v>237659.872</v>
      </c>
      <c r="Z82" s="135">
        <f t="shared" si="114"/>
        <v>115999.99999999999</v>
      </c>
      <c r="AA82" s="135">
        <f t="shared" ref="AA82:AH82" si="115">(AA72-AA73)+AA76+AA78+AA80</f>
        <v>54021.469134012201</v>
      </c>
      <c r="AB82" s="135">
        <f t="shared" si="115"/>
        <v>115999.99999999999</v>
      </c>
      <c r="AC82" s="135">
        <f t="shared" si="115"/>
        <v>40000</v>
      </c>
      <c r="AD82" s="135">
        <f t="shared" si="115"/>
        <v>121426.06304129981</v>
      </c>
      <c r="AE82" s="135">
        <f t="shared" si="115"/>
        <v>40000</v>
      </c>
      <c r="AF82" s="135" t="e">
        <f t="shared" si="115"/>
        <v>#VALUE!</v>
      </c>
      <c r="AG82" s="135">
        <f t="shared" si="115"/>
        <v>623030</v>
      </c>
      <c r="AH82" s="135" t="e">
        <f t="shared" si="115"/>
        <v>#REF!</v>
      </c>
      <c r="AI82" s="135" t="e">
        <f t="shared" ref="AI82" si="116">(AI72-AI73)+AI76+AI78+AI80</f>
        <v>#REF!</v>
      </c>
      <c r="AJ82">
        <f>AJ81*0.5</f>
        <v>0.16625000000000001</v>
      </c>
      <c r="AL82" s="123">
        <v>205843</v>
      </c>
      <c r="AM82" s="111">
        <v>0.504</v>
      </c>
      <c r="AN82" s="113">
        <v>0.37780000000000002</v>
      </c>
      <c r="AO82" s="113">
        <v>0.4592</v>
      </c>
      <c r="AP82" s="13"/>
      <c r="AQ82" s="13"/>
      <c r="AR82" s="97"/>
      <c r="AS82" s="114"/>
      <c r="AT82" s="114"/>
      <c r="AU82" s="147">
        <f>AR81+AM82*(U81-AK82)</f>
        <v>23438.452040000007</v>
      </c>
      <c r="AV82" s="147">
        <f>AR81+AM82*(V81-AK82)</f>
        <v>117760.27796000001</v>
      </c>
      <c r="AW82" s="115">
        <f>AR81+AM82*(W81-AK82)</f>
        <v>26552.285000000007</v>
      </c>
      <c r="AX82" s="43">
        <f>AR81+AM82*(X81-AK82)</f>
        <v>114646.44500000001</v>
      </c>
      <c r="AY82" s="115">
        <f>AR81+AM82*(Y81-AK82)</f>
        <v>115686.701</v>
      </c>
      <c r="AZ82" s="115">
        <f>AR81+AM82*(Z81-AK82)</f>
        <v>715.22900000000664</v>
      </c>
      <c r="BA82" s="115">
        <f>AR81+AM82*(AA81-AK82)</f>
        <v>21002.391482111427</v>
      </c>
      <c r="BB82" s="43">
        <f>AR81+AM82*(AB81-AK82)</f>
        <v>715.22900000000664</v>
      </c>
      <c r="BC82" s="43">
        <f>AR81+AM82*(AC81-AK82)</f>
        <v>20875.229000000007</v>
      </c>
      <c r="BD82" s="43">
        <f>AR81+AM82*(AD81-AK82)</f>
        <v>1437.2259470258605</v>
      </c>
      <c r="BE82" s="43">
        <f>AR81+AM82*(AE81-AK82)</f>
        <v>20875.229000000007</v>
      </c>
      <c r="BF82" s="43" t="e">
        <f>AR81+AM82*(AF81-AK82)</f>
        <v>#VALUE!</v>
      </c>
      <c r="BG82" s="43">
        <f>AR81+AM82*(AG81-AK82)</f>
        <v>113606.18900000001</v>
      </c>
      <c r="BH82" s="43">
        <f>AR81+AM82*(AH81-AK82)</f>
        <v>715.22900000000664</v>
      </c>
      <c r="BI82" s="43">
        <f>AR81+AM82*(AI81-AK82)</f>
        <v>20875.229000000007</v>
      </c>
      <c r="BJ82" s="115">
        <f>S75*AO82</f>
        <v>0</v>
      </c>
      <c r="BK82" s="115">
        <f>T75*AO82</f>
        <v>0</v>
      </c>
      <c r="BL82" s="115">
        <f>U75*AO82</f>
        <v>0</v>
      </c>
      <c r="BM82" s="115">
        <f>V75*AO82</f>
        <v>0</v>
      </c>
      <c r="BN82" s="115">
        <f>W75*AO82</f>
        <v>0</v>
      </c>
      <c r="BO82" s="115">
        <f>X75*AO82</f>
        <v>0</v>
      </c>
      <c r="BP82" s="43">
        <f>Y75*AO82</f>
        <v>0</v>
      </c>
      <c r="BQ82" s="43">
        <f>Z75*AO82</f>
        <v>45920</v>
      </c>
      <c r="BR82" s="43">
        <f>AA75*AO82</f>
        <v>0</v>
      </c>
      <c r="BS82" s="43">
        <f>AB75*AO82</f>
        <v>45920</v>
      </c>
      <c r="BT82" s="43">
        <f>AC75*AO82</f>
        <v>0</v>
      </c>
      <c r="BU82" s="43">
        <f>AD75*AO82</f>
        <v>45920</v>
      </c>
      <c r="BV82" s="43">
        <f>AE75*AO82</f>
        <v>0</v>
      </c>
      <c r="BW82" s="43">
        <f>AF75*AO82</f>
        <v>0</v>
      </c>
      <c r="BX82" s="43">
        <f>AG75*AO82</f>
        <v>157964.79999999999</v>
      </c>
      <c r="BY82" s="43" t="e">
        <f>AH75*AO82</f>
        <v>#REF!</v>
      </c>
      <c r="BZ82" s="43" t="e">
        <f>AI75*AO82</f>
        <v>#REF!</v>
      </c>
      <c r="CA82" s="44">
        <f>AN82*S77</f>
        <v>0</v>
      </c>
      <c r="CB82" s="44">
        <f>AN82*T77</f>
        <v>0</v>
      </c>
      <c r="CC82" s="44">
        <f>AN82*U77</f>
        <v>2612.2603199999999</v>
      </c>
      <c r="CD82" s="44">
        <f>AN82*V77</f>
        <v>0</v>
      </c>
      <c r="CE82" s="44">
        <f>AN82*W77</f>
        <v>1306.1301599999999</v>
      </c>
      <c r="CF82" s="44">
        <f>AN82*X77</f>
        <v>1306.1301599999999</v>
      </c>
      <c r="CG82" s="44">
        <f>AN82*Y77</f>
        <v>2612.2603199999999</v>
      </c>
      <c r="CH82" s="44">
        <f>AN82*Z77</f>
        <v>0</v>
      </c>
      <c r="CI82" s="44">
        <f>AN82*AA77</f>
        <v>3769.5577090932393</v>
      </c>
      <c r="CJ82" s="44">
        <f>AN82*AB77</f>
        <v>0</v>
      </c>
      <c r="CK82" s="44">
        <f>AN82*AC77</f>
        <v>0</v>
      </c>
      <c r="CL82" s="44">
        <f>AN82*AD77</f>
        <v>1093.3010242454309</v>
      </c>
      <c r="CM82" s="44">
        <f>AN82*AE77</f>
        <v>0</v>
      </c>
      <c r="CN82" s="44">
        <f>AN82*AF77</f>
        <v>0</v>
      </c>
      <c r="CO82" s="44">
        <f>AN82*AG77</f>
        <v>0</v>
      </c>
      <c r="CP82" s="44">
        <f>AN82*AH77</f>
        <v>0</v>
      </c>
      <c r="CQ82" s="44">
        <f>AN82*AI77</f>
        <v>1.6268927379613805E-2</v>
      </c>
    </row>
    <row r="83" spans="1:116" ht="15" customHeight="1" x14ac:dyDescent="0.25">
      <c r="A83" s="46"/>
      <c r="B83" s="407" t="s">
        <v>282</v>
      </c>
      <c r="C83" s="410">
        <f t="shared" si="60"/>
        <v>540033.0263927998</v>
      </c>
      <c r="D83" s="414">
        <f t="shared" si="61"/>
        <v>211828.43575912295</v>
      </c>
      <c r="E83" s="414">
        <f t="shared" si="62"/>
        <v>10854.663830495276</v>
      </c>
      <c r="F83" s="418">
        <f t="shared" si="63"/>
        <v>6480.396316713598</v>
      </c>
      <c r="G83" s="422">
        <f t="shared" si="64"/>
        <v>27001.65131963999</v>
      </c>
      <c r="H83" s="426">
        <f t="shared" si="65"/>
        <v>4.8423900000000002E-3</v>
      </c>
      <c r="I83" s="426">
        <f t="shared" si="66"/>
        <v>3.8219884694583914E-2</v>
      </c>
      <c r="J83" s="401">
        <f t="shared" si="67"/>
        <v>4.3062274694583916E-2</v>
      </c>
      <c r="K83" s="46"/>
      <c r="L83" s="405">
        <v>25</v>
      </c>
      <c r="M83" s="560">
        <f>G144-D113</f>
        <v>152361.32142783899</v>
      </c>
      <c r="N83" s="89">
        <f>F113-D113</f>
        <v>328204.59063367685</v>
      </c>
      <c r="O83" s="46"/>
      <c r="P83" s="46"/>
      <c r="Q83" s="2"/>
      <c r="R83" s="3" t="s">
        <v>46</v>
      </c>
      <c r="S83" s="135">
        <f>IF(S82&lt;AL75,AS75,IF(S82&lt;AL76,AS76,IF(S82&lt;AL77,AS77,IF(S82&lt;AL78,AS78,IF(S82&lt;AL79,AS79,IF(S82&lt;AL80,AS80,AS81))))))</f>
        <v>13174.1765</v>
      </c>
      <c r="T83" s="135">
        <f>IF(T82&lt;AL75,AT75,IF(T82&lt;AL76,AT76,IF(T82&lt;AL77,AT77,IF(T82&lt;AL78,AT78,IF(T82&lt;AL79,AT79,IF(T82&lt;AL80,AT80,AT81))))))</f>
        <v>88809.38900000001</v>
      </c>
      <c r="U83" s="135">
        <f>IF(U82&lt;AL75,AU75,IF(U82&lt;AL76,AU76,IF(U82&lt;AL77,AU77,IF(U82&lt;AL78,AU78,IF(U82&lt;AL79,AU79,IF(U82&lt;AL80,AU80,AU81))))))</f>
        <v>11806.191700000001</v>
      </c>
      <c r="V83" s="135">
        <f>IF(V82&lt;AL75,AV75,IF(V82&lt;AL76,AV76,IF(V82&lt;AL77,AV77,IF(V82&lt;AL78,AV78,IF(V82&lt;AL79,AV79,IF(V82&lt;AL80,AV80,AV81))))))</f>
        <v>92963.477960000004</v>
      </c>
      <c r="W83" s="135">
        <f>IF(W82&lt;AL75,AW75,IF(W82&lt;AL76,AW76,IF(W82&lt;AL77,AW77,IF(W82&lt;AL78,AW78,IF(W82&lt;AL79,AW79,IF(W82&lt;AL80,AW80,AW81))))))</f>
        <v>13860.4565</v>
      </c>
      <c r="X83" s="135">
        <f>IF(X82&lt;AL75,AX75,IF(X82&lt;AL76,AX76,IF(X82&lt;AL77,AX77,IF(X82&lt;AL78,AX78,IF(X82&lt;AL79,AX79,IF(X82&lt;AL80,AX80,AX81))))))</f>
        <v>89849.645000000004</v>
      </c>
      <c r="Y83" s="135">
        <f>IF(Y82&lt;AL75,AY75,IF(Y82&lt;AL76,AY76,IF(Y82&lt;AL77,AY77,IF(Y82&lt;AL78,AY78,IF(Y82&lt;AL79,AY79,IF(Y82&lt;AL80,AY80,AY81))))))</f>
        <v>90889.901000000013</v>
      </c>
      <c r="Z83" s="135">
        <f>IF(Z82&lt;AL75,AZ75,IF(Z82&lt;AL76,AZ76,IF(Z82&lt;AL77,AZ77,IF(Z82&lt;AL78,AZ78,IF(Z82&lt;AL79,AZ79,IF(Z82&lt;AL80,AZ80,AZ81))))))</f>
        <v>-11512.252999999997</v>
      </c>
      <c r="AA83" s="135">
        <f>IF(AA82&lt;AL75,BA75,IF(AA82&lt;AL76,BA76,IF(AA82&lt;AL77,BA77,IF(AA82&lt;AL78,BA78,IF(AA82&lt;AL79,BA79,IF(AA82&lt;AL80,BA80,BA81))))))</f>
        <v>10199.068415281839</v>
      </c>
      <c r="AB83" s="135">
        <f>IF(AB82&lt;AL75,BB75,IF(AB82&lt;AL76,BB76,IF(AB82&lt;AL77,BB77,IF(AB82&lt;AL78,BB78,IF(AB82&lt;AL79,BB79,IF(AB82&lt;AL80,BB80,BB81))))))</f>
        <v>-11512.252999999997</v>
      </c>
      <c r="AC83" s="135">
        <f>IF(AC82&lt;AL75,BC75,IF(AC82&lt;AL76,BC76,IF(AC82&lt;AL77,BC77,IF(AC82&lt;AL78,BC78,IF(AC82&lt;AL79,BC79,IF(AC82&lt;AL80,BC80,BC81))))))</f>
        <v>10478.784000000001</v>
      </c>
      <c r="AD83" s="135">
        <f>IF(AD82&lt;AL75,BD75,IF(AD82&lt;AL76,BD76,IF(AD82&lt;AL77,BD77,IF(AD82&lt;AL78,BD78,IF(AD82&lt;AL79,BD79,IF(AD82&lt;AL80,BD80,BD81))))))</f>
        <v>-10890.533406727736</v>
      </c>
      <c r="AE83" s="135">
        <f>IF(AE82&lt;AL75,BE75,IF(AE82&lt;AL76,BE76,IF(AE82&lt;AL77,BE77,IF(AE82&lt;AL78,BE78,IF(AE82&lt;AL79,BE79,IF(AE82&lt;AL80,BE80,BE81))))))</f>
        <v>10478.784000000001</v>
      </c>
      <c r="AF83" s="135" t="e">
        <f>IF(AF82&lt;AL75,BF75,IF(AF82&lt;AL76,BF76,IF(AF82&lt;AL77,BF77,IF(AF82&lt;AL78,BF78,IF(AF82&lt;AL79,BF79,IF(AF82&lt;AL80,BF80,BF81))))))</f>
        <v>#VALUE!</v>
      </c>
      <c r="AG83" s="135">
        <f>IF(AG82&lt;AL75,BG75,IF(AG82&lt;AL76,BG76,IF(AG82&lt;AL77,BG77,IF(AG82&lt;AL78,BG78,IF(AG82&lt;AL79,BG79,IF(AG82&lt;AL80,BG80,BG81))))))</f>
        <v>88809.38900000001</v>
      </c>
      <c r="AH83" s="135" t="e">
        <f>IF(AH82&lt;AL75,BH75,IF(AH82&lt;AL76,BH76,IF(AH82&lt;AL77,BH77,IF(AH82&lt;AL78,BH78,IF(AH82&lt;AL79,BH79,IF(AH82&lt;AL80,BH80,BH81))))))</f>
        <v>#REF!</v>
      </c>
      <c r="AI83" s="135" t="e">
        <f>IF(AI82&lt;AL75,BI75,IF(AI82&lt;AL76,BI76,IF(AI82&lt;AL77,BI77,IF(AI82&lt;AL78,BI78,IF(AI82&lt;AL79,BI79,IF(AI82&lt;AL80,BI80,BI81))))))</f>
        <v>#REF!</v>
      </c>
      <c r="AJ83" s="8">
        <f>IF(S82&lt;AL75,AN75,IF(S82&lt;AL76,AN76,IF(S82&lt;AL77,AN77,IF(S82&lt;AL78,AN78,IF(S82&lt;AL79,AN79,IF(S82&lt;AL80,AN80,AN81))))))</f>
        <v>0.14119999999999999</v>
      </c>
      <c r="AL83" s="123">
        <v>205843</v>
      </c>
      <c r="AM83" s="111">
        <v>0.504</v>
      </c>
      <c r="AN83" s="113">
        <v>0.37780000000000002</v>
      </c>
      <c r="AO83" s="113">
        <v>0.4592</v>
      </c>
      <c r="AP83" s="13"/>
      <c r="AQ83" s="13"/>
      <c r="AR83" s="97"/>
      <c r="AS83" s="114"/>
      <c r="AT83" s="114"/>
      <c r="AU83" s="115">
        <f>AR82+AM83*(U81-AK83)</f>
        <v>22723.223040000001</v>
      </c>
      <c r="AV83" s="115">
        <f>AR82+AM83*(V81-AK83)</f>
        <v>117045.04896</v>
      </c>
      <c r="AW83" s="115">
        <f>AR82+AM83*(W81-AK83)</f>
        <v>25837.056</v>
      </c>
      <c r="AX83" s="43">
        <f>AR82+AM83*(X81-AK83)</f>
        <v>113931.216</v>
      </c>
      <c r="AY83" s="115">
        <f>AR82+AM83*(Y81-AK83)</f>
        <v>114971.47199999999</v>
      </c>
      <c r="AZ83" s="115">
        <f>AR82+AM83*(Z81-AK83)</f>
        <v>0</v>
      </c>
      <c r="BA83" s="115">
        <f>AR82+AM83*(AA81-AK83)</f>
        <v>20287.16248211142</v>
      </c>
      <c r="BB83" s="43">
        <f>AR82+AM83*(AB81-AK83)</f>
        <v>0</v>
      </c>
      <c r="BC83" s="43">
        <f>AR82+AM83*(AC81-AK83)</f>
        <v>20160</v>
      </c>
      <c r="BD83" s="43">
        <f>AR82+AM83*(AD81-AK83)</f>
        <v>721.99694702585373</v>
      </c>
      <c r="BE83" s="43">
        <f>AR82+AM83*(AE81-AK83)</f>
        <v>20160</v>
      </c>
      <c r="BF83" s="43" t="e">
        <f>AR82+AM83*(AF81-AK83)</f>
        <v>#VALUE!</v>
      </c>
      <c r="BG83" s="43">
        <f>AR82+AM83*(AG81-AK83)</f>
        <v>112890.96</v>
      </c>
      <c r="BH83" s="43">
        <f>AR82+AM83*(AH81-AK83)</f>
        <v>0</v>
      </c>
      <c r="BI83" s="43">
        <f>AR82+AM83*(AI81-AK83)</f>
        <v>20160</v>
      </c>
      <c r="BJ83" s="115">
        <f>S75*AO83</f>
        <v>0</v>
      </c>
      <c r="BK83" s="115">
        <f>T75*AO83</f>
        <v>0</v>
      </c>
      <c r="BL83" s="115">
        <f>U75*AO83</f>
        <v>0</v>
      </c>
      <c r="BM83" s="115">
        <f>V75*AO83</f>
        <v>0</v>
      </c>
      <c r="BN83" s="115">
        <f>W75*AO83</f>
        <v>0</v>
      </c>
      <c r="BO83" s="115">
        <f>X75*AO83</f>
        <v>0</v>
      </c>
      <c r="BP83" s="43">
        <f>Y75*AO83</f>
        <v>0</v>
      </c>
      <c r="BQ83" s="43">
        <f>Z75*AO83</f>
        <v>45920</v>
      </c>
      <c r="BR83" s="43">
        <f>AA75*AO83</f>
        <v>0</v>
      </c>
      <c r="BS83" s="43">
        <f>AB75*AO83</f>
        <v>45920</v>
      </c>
      <c r="BT83" s="43">
        <f>AC75*AO83</f>
        <v>0</v>
      </c>
      <c r="BU83" s="43">
        <f>AD75*AO83</f>
        <v>45920</v>
      </c>
      <c r="BV83" s="43">
        <f>AE75*AO83</f>
        <v>0</v>
      </c>
      <c r="BW83" s="43">
        <f>AF75*AO83</f>
        <v>0</v>
      </c>
      <c r="BX83" s="43">
        <f>AG75*AO83</f>
        <v>157964.79999999999</v>
      </c>
      <c r="BY83" s="43" t="e">
        <f>AH75*AO83</f>
        <v>#REF!</v>
      </c>
      <c r="BZ83" s="43" t="e">
        <f>AI75*AO83</f>
        <v>#REF!</v>
      </c>
      <c r="CA83" s="44">
        <f>AN83*S77</f>
        <v>0</v>
      </c>
      <c r="CB83" s="44">
        <f>AN83*T77</f>
        <v>0</v>
      </c>
      <c r="CC83" s="44">
        <f>AN83*U77</f>
        <v>2612.2603199999999</v>
      </c>
      <c r="CD83" s="44">
        <f>AN83*V77</f>
        <v>0</v>
      </c>
      <c r="CE83" s="44">
        <f>AN83*W77</f>
        <v>1306.1301599999999</v>
      </c>
      <c r="CF83" s="44">
        <f>AN83*X77</f>
        <v>1306.1301599999999</v>
      </c>
      <c r="CG83" s="44">
        <f>AN83*Y77</f>
        <v>2612.2603199999999</v>
      </c>
      <c r="CH83" s="44">
        <f>AN83*Z77</f>
        <v>0</v>
      </c>
      <c r="CI83" s="44">
        <f>AN83*AA77</f>
        <v>3769.5577090932393</v>
      </c>
      <c r="CJ83" s="44">
        <f>AN83*AB77</f>
        <v>0</v>
      </c>
      <c r="CK83" s="44">
        <f>AN83*AC77</f>
        <v>0</v>
      </c>
      <c r="CL83" s="44">
        <f>AN83*AD77</f>
        <v>1093.3010242454309</v>
      </c>
      <c r="CM83" s="44">
        <f>AN83*AE77</f>
        <v>0</v>
      </c>
      <c r="CN83" s="44">
        <f>AN83*AF77</f>
        <v>0</v>
      </c>
      <c r="CO83" s="44">
        <f>AN83*AG77</f>
        <v>0</v>
      </c>
      <c r="CP83" s="44">
        <f>AN83*AH77</f>
        <v>0</v>
      </c>
      <c r="CQ83" s="44">
        <f>AN83*AI77</f>
        <v>1.6268927379613805E-2</v>
      </c>
      <c r="CS83" s="13"/>
    </row>
    <row r="84" spans="1:116" ht="15" customHeight="1" thickBot="1" x14ac:dyDescent="0.3">
      <c r="A84" s="46"/>
      <c r="B84" s="408" t="s">
        <v>283</v>
      </c>
      <c r="C84" s="412">
        <f t="shared" si="60"/>
        <v>550314.02680511842</v>
      </c>
      <c r="D84" s="416">
        <f t="shared" si="61"/>
        <v>207591.8670439405</v>
      </c>
      <c r="E84" s="416">
        <f t="shared" si="62"/>
        <v>11061.311938782881</v>
      </c>
      <c r="F84" s="420">
        <f t="shared" si="63"/>
        <v>6603.7683216614214</v>
      </c>
      <c r="G84" s="424">
        <f t="shared" si="64"/>
        <v>27515.701340255924</v>
      </c>
      <c r="H84" s="428">
        <f t="shared" si="65"/>
        <v>4.8423900000000002E-3</v>
      </c>
      <c r="I84" s="428">
        <f t="shared" si="66"/>
        <v>3.7505858463806156E-2</v>
      </c>
      <c r="J84" s="403">
        <f t="shared" si="67"/>
        <v>4.2348248463806158E-2</v>
      </c>
      <c r="K84" s="46"/>
      <c r="L84" s="558">
        <v>26</v>
      </c>
      <c r="M84" s="562">
        <f>G145-D114</f>
        <v>153354.89250547087</v>
      </c>
      <c r="N84" s="553">
        <f>F114-D114</f>
        <v>342722.15976117796</v>
      </c>
      <c r="O84" s="46"/>
      <c r="P84" s="46"/>
      <c r="Q84" s="2"/>
      <c r="R84" s="3" t="s">
        <v>70</v>
      </c>
      <c r="S84" s="8">
        <f>IF(S82&lt;AL75,BJ75,IF(S82&lt;AL76,BJ76,IF(S82&lt;AL77,BJ77,IF(S82&lt;AL78,BJ78,IF(S82&lt;AL79,BJ79,IF(S82&lt;AL80,BJ80,BJ81))))))</f>
        <v>0</v>
      </c>
      <c r="T84" s="8">
        <f>IF(T82&lt;AL75,BK75,IF(T82&lt;AL76,BK76,IF(T82&lt;AL77,BK77,IF(T82&lt;AL78,BK78,IF(T82&lt;AL79,BK79,IF(T82&lt;AL80,BK80,BK81))))))</f>
        <v>0</v>
      </c>
      <c r="U84" s="8">
        <f>IF(U82&lt;AL75,BL75,IF(U82&lt;AL76,BL76,IF(U82&lt;AL77,BL77,IF(U82&lt;AL78,BL78,IF(U82&lt;AL79,BL79,IF(U82&lt;AL80,BL80,BL81))))))</f>
        <v>0</v>
      </c>
      <c r="V84" s="8">
        <f>IF(V82&lt;AL75,BM75,IF(V82&lt;AL76,BM76,IF(V82&lt;AL77,BM77,IF(V82&lt;AL78,BM78,IF(V82&lt;AL79,BM79,IF(V82&lt;AL80,BM80,BM81))))))</f>
        <v>0</v>
      </c>
      <c r="W84" s="2">
        <f>IF(W82&lt;AL75,BN75,IF(W82&lt;AL76,BN76,IF(W82&lt;AL77,BN77,IF(W82&lt;AL78,BN78,IF(W82&lt;AL79,BN79,IF(W82&lt;AL80,BN80,BN81))))))</f>
        <v>0</v>
      </c>
      <c r="X84" s="2">
        <f>IF(X82&lt;AL75,BO75,IF(X82&lt;AL76,BO76,IF(X82&lt;AL77,BO77,IF(X82&lt;AL78,BO78,IF(X82&lt;AL79,BO79,IF(X82&lt;AL80,BO80,BO81))))))</f>
        <v>0</v>
      </c>
      <c r="Y84" s="2">
        <f>IF(Y82&lt;AL75,BP75,IF(Y82&lt;AL76,BP76,IF(Y82&lt;AL77,BP77,IF(Y82&lt;AL78,BP78,IF(Y82&lt;AL79,BP79,IF(Y82&lt;AL80,BP80,BP81))))))</f>
        <v>0</v>
      </c>
      <c r="Z84" s="2">
        <f>IF(Z82&lt;AL75,BQ75,IF(Z82&lt;AL76,BQ76,IF(Z82&lt;AL77,BQ77,IF(Z82&lt;AL78,BQ78,IF(Z82&lt;AL79,BQ79,IF(Z82&lt;AL80,BQ80,BQ81))))))</f>
        <v>37800</v>
      </c>
      <c r="AA84" s="2">
        <f>IF(AA82&lt;AL75,BR75,IF(AA82&lt;AL76,BR76,IF(AA82&lt;AL77,BR77,IF(AA82&lt;AL78,BR78,IF(AA82&lt;AL79,BR79,IF(AA82&lt;AL80,BR80,BR81))))))</f>
        <v>0</v>
      </c>
      <c r="AB84" s="2">
        <f>IF(AB82&lt;AL75,BS75,IF(AB82&lt;AL76,BS76,IF(AB82&lt;AL77,BS77,IF(AB82&lt;AL78,BS78,IF(AB82&lt;AL79,BS79,IF(AB82&lt;AL80,BS80,BS81))))))</f>
        <v>37800</v>
      </c>
      <c r="AC84" s="2">
        <f>IF(AC82&lt;AL75,BT75,IF(AC82&lt;AL76,BT76,IF(AC82&lt;AL77,BT77,IF(AC82&lt;AL78,BT78,IF(AC82&lt;AL79,BT79,IF(AC82&lt;AL80,BT80,BT81))))))</f>
        <v>0</v>
      </c>
      <c r="AD84" s="2">
        <f>IF(AD82&lt;AL75,BU75,IF(AD82&lt;AL76,BU76,IF(AD82&lt;AL77,BU77,IF(AD82&lt;AL78,BU78,IF(AD82&lt;AL79,BU79,IF(AD82&lt;AL80,BU80,BU81))))))</f>
        <v>37800</v>
      </c>
      <c r="AE84" s="2">
        <f>IF(AE82&lt;AL75,BV75,IF(AE82&lt;AL76,BV76,IF(AE82&lt;AL77,BV77,IF(AE82&lt;AL78,BV78,IF(AE82&lt;AL79,BV79,IF(AE82&lt;AL80,BV80,BV81))))))</f>
        <v>0</v>
      </c>
      <c r="AF84" s="2" t="e">
        <f>IF(AF82&lt;AL75,BW75,IF(AF82&lt;AL76,BW76,IF(AF82&lt;AL77,BW77,IF(AF82&lt;AL78,BW78,IF(AF82&lt;AL79,BW79,IF(AF82&lt;AL80,BW80,BW81))))))</f>
        <v>#VALUE!</v>
      </c>
      <c r="AG84" s="2">
        <f>IF(AG82&lt;AL75,BX75,IF(AG82&lt;AL76,BX76,IF(AG82&lt;AL77,BX77,IF(AG82&lt;AL78,BX78,IF(AG82&lt;AL79,BX79,IF(AG82&lt;AL80,BX80,BX81))))))</f>
        <v>157964.79999999999</v>
      </c>
      <c r="AH84" s="2" t="e">
        <f>IF(AH82&lt;AL75,BY75,IF(AH82&lt;AL76,BY76,IF(AH82&lt;AL77,BY77,IF(AH82&lt;AL78,BY78,IF(AH82&lt;AL79,BY79,IF(AH82&lt;AL80,BY80,BY81))))))</f>
        <v>#REF!</v>
      </c>
      <c r="AI84" s="2" t="e">
        <f>IF(AI82&lt;AL75,BZ75,IF(AI82&lt;AL76,BZ76,IF(AI82&lt;AL77,BZ77,IF(AI82&lt;AL78,BZ78,IF(AI82&lt;AL79,BZ79,IF(AI82&lt;AL80,BZ80,BZ81))))))</f>
        <v>#REF!</v>
      </c>
      <c r="AL84" s="123">
        <v>205843</v>
      </c>
      <c r="AM84" s="111">
        <v>0.504</v>
      </c>
      <c r="AN84" s="113">
        <v>0.37780000000000002</v>
      </c>
      <c r="AO84" s="113">
        <v>0.4592</v>
      </c>
      <c r="AP84" s="13"/>
      <c r="AQ84" s="13"/>
      <c r="AR84" s="97"/>
      <c r="AS84" s="114"/>
      <c r="AT84" s="114"/>
      <c r="AU84" s="115">
        <f>AR83+AM84*(U81-AK84)</f>
        <v>22723.223040000001</v>
      </c>
      <c r="AV84" s="115">
        <f>AR83+AM84*(V81-AK84)</f>
        <v>117045.04896</v>
      </c>
      <c r="AW84" s="115">
        <f>AR83+AM84*(W81-AK84)</f>
        <v>25837.056</v>
      </c>
      <c r="AX84" s="43">
        <f>AR83+AM84*(X81-AK84)</f>
        <v>113931.216</v>
      </c>
      <c r="AY84" s="115">
        <f>AR83+AM84*(Y81-AK84)</f>
        <v>114971.47199999999</v>
      </c>
      <c r="AZ84" s="115">
        <f>AR83+AM84*(Z81-AK84)</f>
        <v>0</v>
      </c>
      <c r="BA84" s="115">
        <f>AR83+AM84*(AA81-AK84)</f>
        <v>20287.16248211142</v>
      </c>
      <c r="BB84" s="43">
        <f>AR83+AM84*(AB81-AK84)</f>
        <v>0</v>
      </c>
      <c r="BC84" s="43">
        <f>AR83+AM84*(AC81-AK84)</f>
        <v>20160</v>
      </c>
      <c r="BD84" s="43">
        <f>AR83+AM84*(AD81-AK84)</f>
        <v>721.99694702585373</v>
      </c>
      <c r="BE84" s="43">
        <f>AR83+AM84*(AE81-AK84)</f>
        <v>20160</v>
      </c>
      <c r="BF84" s="43" t="e">
        <f>AR83+AM84*(AF81-AK84)</f>
        <v>#VALUE!</v>
      </c>
      <c r="BG84" s="43">
        <f>AR83+AM84*(AG81-AK84)</f>
        <v>112890.96</v>
      </c>
      <c r="BH84" s="43">
        <f>AR83+AM84*(AH81-AK84)</f>
        <v>0</v>
      </c>
      <c r="BI84" s="43">
        <f>AR83+AM84*(AI81-AK84)</f>
        <v>20160</v>
      </c>
      <c r="BJ84" s="115">
        <f>S75*AO84</f>
        <v>0</v>
      </c>
      <c r="BK84" s="115">
        <f>T75*AO84</f>
        <v>0</v>
      </c>
      <c r="BL84" s="115">
        <f>U75*AO84</f>
        <v>0</v>
      </c>
      <c r="BM84" s="115">
        <f>V75*AO84</f>
        <v>0</v>
      </c>
      <c r="BN84" s="115">
        <f>W75*AO84</f>
        <v>0</v>
      </c>
      <c r="BO84" s="115">
        <f>X75*AO84</f>
        <v>0</v>
      </c>
      <c r="BP84" s="43">
        <f>Y75*AO84</f>
        <v>0</v>
      </c>
      <c r="BQ84" s="43">
        <f>Z75*AO84</f>
        <v>45920</v>
      </c>
      <c r="BR84" s="43">
        <f>AA75*AO84</f>
        <v>0</v>
      </c>
      <c r="BS84" s="43">
        <f>AB75*AO84</f>
        <v>45920</v>
      </c>
      <c r="BT84" s="43">
        <f>AC75*AO84</f>
        <v>0</v>
      </c>
      <c r="BU84" s="43">
        <f>AD75*AO84</f>
        <v>45920</v>
      </c>
      <c r="BV84" s="43">
        <f>AE75*AO84</f>
        <v>0</v>
      </c>
      <c r="BW84" s="43">
        <f>AF75*AO84</f>
        <v>0</v>
      </c>
      <c r="BX84" s="43">
        <f>AG75*AO84</f>
        <v>157964.79999999999</v>
      </c>
      <c r="BY84" s="43" t="e">
        <f>AH75*AO84</f>
        <v>#REF!</v>
      </c>
      <c r="BZ84" s="43" t="e">
        <f>AI75*AO84</f>
        <v>#REF!</v>
      </c>
      <c r="CA84" s="44">
        <f>AN84*S77</f>
        <v>0</v>
      </c>
      <c r="CB84" s="44">
        <f>AN84*T77</f>
        <v>0</v>
      </c>
      <c r="CC84" s="44">
        <f>AN84*U77</f>
        <v>2612.2603199999999</v>
      </c>
      <c r="CD84" s="44">
        <f>AN84*V77</f>
        <v>0</v>
      </c>
      <c r="CE84" s="44">
        <f>AN84*W77</f>
        <v>1306.1301599999999</v>
      </c>
      <c r="CF84" s="44">
        <f>AN84*X77</f>
        <v>1306.1301599999999</v>
      </c>
      <c r="CG84" s="44">
        <f>AN84*Y77</f>
        <v>2612.2603199999999</v>
      </c>
      <c r="CH84" s="44">
        <f>AN84*Z77</f>
        <v>0</v>
      </c>
      <c r="CI84" s="44">
        <f>AN84*AA77</f>
        <v>3769.5577090932393</v>
      </c>
      <c r="CJ84" s="44">
        <f>AN84*AB77</f>
        <v>0</v>
      </c>
      <c r="CK84" s="44">
        <f>AN84*AC77</f>
        <v>0</v>
      </c>
      <c r="CL84" s="44">
        <f>AN84*AD77</f>
        <v>1093.3010242454309</v>
      </c>
      <c r="CM84" s="44">
        <f>AN84*AE77</f>
        <v>0</v>
      </c>
      <c r="CN84" s="44">
        <f>AN84*AF77</f>
        <v>0</v>
      </c>
      <c r="CO84" s="44">
        <f>AN84*AG77</f>
        <v>0</v>
      </c>
      <c r="CP84" s="44">
        <f>AN84*AH77</f>
        <v>0</v>
      </c>
      <c r="CQ84" s="44">
        <f>AN84*AI77</f>
        <v>1.6268927379613805E-2</v>
      </c>
      <c r="CR84" s="13"/>
      <c r="CS84" s="13"/>
    </row>
    <row r="85" spans="1:116" ht="15" customHeight="1" x14ac:dyDescent="0.25">
      <c r="A85" s="46"/>
      <c r="B85" s="436" t="s">
        <v>292</v>
      </c>
      <c r="C85" s="436"/>
      <c r="D85" s="436"/>
      <c r="E85" s="436"/>
      <c r="F85" s="436"/>
      <c r="G85" s="436"/>
      <c r="H85" s="436"/>
      <c r="I85" s="436"/>
      <c r="J85" s="436"/>
      <c r="K85" s="46"/>
      <c r="L85" s="46"/>
      <c r="M85" s="46"/>
      <c r="N85" s="46"/>
      <c r="O85" s="46"/>
      <c r="P85" s="46"/>
      <c r="Q85" s="2"/>
      <c r="R85" s="3" t="s">
        <v>49</v>
      </c>
      <c r="S85" s="66">
        <f t="shared" ref="S85:AF85" si="117">CA86</f>
        <v>0</v>
      </c>
      <c r="T85" s="66">
        <f t="shared" si="117"/>
        <v>0</v>
      </c>
      <c r="U85" s="66">
        <f t="shared" si="117"/>
        <v>976.31327999999985</v>
      </c>
      <c r="V85" s="66">
        <f t="shared" si="117"/>
        <v>0</v>
      </c>
      <c r="W85" s="66">
        <f t="shared" si="117"/>
        <v>488.15663999999992</v>
      </c>
      <c r="X85" s="66">
        <f t="shared" si="117"/>
        <v>1306.1301599999999</v>
      </c>
      <c r="Y85" s="66">
        <f t="shared" si="117"/>
        <v>2612.2603199999999</v>
      </c>
      <c r="Z85" s="130">
        <f t="shared" si="117"/>
        <v>0</v>
      </c>
      <c r="AA85" s="130">
        <f t="shared" si="117"/>
        <v>1408.8447552248949</v>
      </c>
      <c r="AB85" s="130">
        <f t="shared" si="117"/>
        <v>0</v>
      </c>
      <c r="AC85" s="130">
        <f t="shared" si="117"/>
        <v>0</v>
      </c>
      <c r="AD85" s="130">
        <f t="shared" si="117"/>
        <v>813.75396510803387</v>
      </c>
      <c r="AE85" s="130">
        <f t="shared" si="117"/>
        <v>0</v>
      </c>
      <c r="AF85" s="130" t="e">
        <f t="shared" si="117"/>
        <v>#VALUE!</v>
      </c>
      <c r="AG85" s="130">
        <f>CO86</f>
        <v>0</v>
      </c>
      <c r="AH85" s="130" t="e">
        <f>CP86</f>
        <v>#REF!</v>
      </c>
      <c r="AI85" s="130" t="e">
        <f>CQ86</f>
        <v>#REF!</v>
      </c>
      <c r="AJ85" t="e">
        <f>IF(#REF!&lt;AL75,AM75,IF(#REF!&lt;AL76,AM76,IF(#REF!&lt;AL77,AM77,IF(#REF!&lt;AL78,AM78,IF(#REF!&lt;AL79,AM79,IF(#REF!&lt;AL80,AM80,AM81))))))</f>
        <v>#REF!</v>
      </c>
      <c r="AL85" s="123">
        <v>205843</v>
      </c>
      <c r="AM85" s="111">
        <v>0.504</v>
      </c>
      <c r="AN85" s="113">
        <v>0.37780000000000002</v>
      </c>
      <c r="AO85" s="113">
        <v>0.4592</v>
      </c>
      <c r="AP85" s="13"/>
      <c r="AQ85" s="13"/>
      <c r="AR85" s="97"/>
      <c r="AS85" s="114"/>
      <c r="AT85" s="114"/>
      <c r="AU85" s="115">
        <f>AR84+AM85*(U81-AK85)</f>
        <v>22723.223040000001</v>
      </c>
      <c r="AV85" s="115">
        <f>AR84+AM85*(V81-AK85)</f>
        <v>117045.04896</v>
      </c>
      <c r="AW85" s="115">
        <f>AR84+AM85*(W81-AK85)</f>
        <v>25837.056</v>
      </c>
      <c r="AX85" s="43">
        <f>AR84+AM85*(X81-AK85)</f>
        <v>113931.216</v>
      </c>
      <c r="AY85" s="115">
        <f>AR84+AM85*(Y81-AK85)</f>
        <v>114971.47199999999</v>
      </c>
      <c r="AZ85" s="115">
        <f>AR84+AM85*(Z81-AK85)</f>
        <v>0</v>
      </c>
      <c r="BA85" s="115">
        <f>AR84+AM85*(AA81-AK85)</f>
        <v>20287.16248211142</v>
      </c>
      <c r="BB85" s="43">
        <f>AR84+AM85*(AB81-AK85)</f>
        <v>0</v>
      </c>
      <c r="BC85" s="43">
        <f>AR84+AM85*(AC81-AK85)</f>
        <v>20160</v>
      </c>
      <c r="BD85" s="43">
        <f>AR84+AM85*(AD81-AK85)</f>
        <v>721.99694702585373</v>
      </c>
      <c r="BE85" s="43">
        <f>AR84+AM85*(AE81-AK85)</f>
        <v>20160</v>
      </c>
      <c r="BF85" s="43" t="e">
        <f>AR84+AM85*(AF81-AK85)</f>
        <v>#VALUE!</v>
      </c>
      <c r="BG85" s="43">
        <f>AR84+AM85*(AG81-AK85)</f>
        <v>112890.96</v>
      </c>
      <c r="BH85" s="43">
        <f>AR84+AM85*(AH81-AK85)</f>
        <v>0</v>
      </c>
      <c r="BI85" s="43">
        <f>AR84+AM85*(AI81-AK85)</f>
        <v>20160</v>
      </c>
      <c r="BJ85" s="115">
        <f>S75*AO85</f>
        <v>0</v>
      </c>
      <c r="BK85" s="115">
        <f>T75*AO85</f>
        <v>0</v>
      </c>
      <c r="BL85" s="115">
        <f>U75*AO85</f>
        <v>0</v>
      </c>
      <c r="BM85" s="115">
        <f>V75*AO85</f>
        <v>0</v>
      </c>
      <c r="BN85" s="115">
        <f>W75*AO85</f>
        <v>0</v>
      </c>
      <c r="BO85" s="115">
        <f>X75*AO85</f>
        <v>0</v>
      </c>
      <c r="BP85" s="43">
        <f>Y75*AO85</f>
        <v>0</v>
      </c>
      <c r="BQ85" s="43">
        <f>Z75*AO85</f>
        <v>45920</v>
      </c>
      <c r="BR85" s="43">
        <f>AA75*AO85</f>
        <v>0</v>
      </c>
      <c r="BS85" s="43">
        <f>AB75*AO85</f>
        <v>45920</v>
      </c>
      <c r="BT85" s="43">
        <f>AC75*AO85</f>
        <v>0</v>
      </c>
      <c r="BU85" s="43">
        <f>AD75*AO85</f>
        <v>45920</v>
      </c>
      <c r="BV85" s="43">
        <f>AE75*AO85</f>
        <v>0</v>
      </c>
      <c r="BW85" s="43">
        <f>AF75*AO85</f>
        <v>0</v>
      </c>
      <c r="BX85" s="43">
        <f>AG75*AO85</f>
        <v>157964.79999999999</v>
      </c>
      <c r="BY85" s="43" t="e">
        <f>AH75*AO85</f>
        <v>#REF!</v>
      </c>
      <c r="BZ85" s="43" t="e">
        <f>AI75*AO85</f>
        <v>#REF!</v>
      </c>
      <c r="CA85" s="44">
        <f>AN85*S77</f>
        <v>0</v>
      </c>
      <c r="CB85" s="44">
        <f>AN85*T77</f>
        <v>0</v>
      </c>
      <c r="CC85" s="44">
        <f>AN85*U77</f>
        <v>2612.2603199999999</v>
      </c>
      <c r="CD85" s="44">
        <f>AN85*V77</f>
        <v>0</v>
      </c>
      <c r="CE85" s="44">
        <f>AN85*W77</f>
        <v>1306.1301599999999</v>
      </c>
      <c r="CF85" s="44">
        <f>AN85*X77</f>
        <v>1306.1301599999999</v>
      </c>
      <c r="CG85" s="44">
        <f>AN85*Y77</f>
        <v>2612.2603199999999</v>
      </c>
      <c r="CH85" s="44">
        <f>AN85*Z77</f>
        <v>0</v>
      </c>
      <c r="CI85" s="44">
        <f>AN85*AA77</f>
        <v>3769.5577090932393</v>
      </c>
      <c r="CJ85" s="44">
        <f>AN85*AB77</f>
        <v>0</v>
      </c>
      <c r="CK85" s="44">
        <f>AN85*AC77</f>
        <v>0</v>
      </c>
      <c r="CL85" s="44">
        <f>AN85*AD77</f>
        <v>1093.3010242454309</v>
      </c>
      <c r="CM85" s="44">
        <f>AN85*AE77</f>
        <v>0</v>
      </c>
      <c r="CN85" s="44">
        <f>AN85*AF77</f>
        <v>0</v>
      </c>
      <c r="CO85" s="44">
        <f>AN85*AG77</f>
        <v>0</v>
      </c>
      <c r="CP85" s="44">
        <f>AN85*AH77</f>
        <v>0</v>
      </c>
      <c r="CQ85" s="44">
        <f>AN85*AI77</f>
        <v>1.6268927379613805E-2</v>
      </c>
      <c r="CR85" s="13"/>
      <c r="CS85" s="13"/>
    </row>
    <row r="86" spans="1:116" ht="15.75" x14ac:dyDescent="0.25">
      <c r="A86" s="435" t="s">
        <v>183</v>
      </c>
      <c r="B86" s="435"/>
      <c r="C86" s="435"/>
      <c r="D86" s="435"/>
      <c r="E86" s="435"/>
      <c r="F86" s="435"/>
      <c r="G86" s="435"/>
      <c r="H86" s="435"/>
      <c r="I86" s="435"/>
      <c r="J86" s="435"/>
      <c r="K86" s="435"/>
      <c r="L86" s="435"/>
      <c r="M86" s="435"/>
      <c r="N86" s="435"/>
      <c r="O86" s="435"/>
      <c r="P86" s="435"/>
      <c r="Q86" s="2"/>
      <c r="R86" s="3" t="s">
        <v>73</v>
      </c>
      <c r="S86" s="135"/>
      <c r="T86" s="97">
        <f>S87-T87</f>
        <v>-75635.212500000009</v>
      </c>
      <c r="U86" s="85">
        <f>U87-S87</f>
        <v>-391.67151999999805</v>
      </c>
      <c r="V86" s="85">
        <f>V87-T87</f>
        <v>4154.0889599999937</v>
      </c>
      <c r="W86" s="85">
        <f>W87-S87</f>
        <v>1174.4366399999999</v>
      </c>
      <c r="X86" s="85">
        <f>X87-T87</f>
        <v>2346.3861599999946</v>
      </c>
      <c r="Y86" s="85">
        <f>Y87-T87</f>
        <v>4692.7723200000037</v>
      </c>
      <c r="Z86" s="142">
        <f t="shared" ref="Z86:AE86" si="118">Z87-W87</f>
        <v>11939.133860000004</v>
      </c>
      <c r="AA86" s="142">
        <f t="shared" si="118"/>
        <v>-79547.861989493278</v>
      </c>
      <c r="AB86" s="142">
        <f t="shared" si="118"/>
        <v>-67214.414320000011</v>
      </c>
      <c r="AC86" s="142">
        <f t="shared" si="118"/>
        <v>-15808.963000000002</v>
      </c>
      <c r="AD86" s="142">
        <f t="shared" si="118"/>
        <v>16115.307387873563</v>
      </c>
      <c r="AE86" s="142">
        <f t="shared" si="118"/>
        <v>-15808.963000000002</v>
      </c>
      <c r="AF86" s="85" t="e">
        <f>AF87-S87</f>
        <v>#VALUE!</v>
      </c>
      <c r="AG86" s="85">
        <f>AG87-T87</f>
        <v>157964.79999999999</v>
      </c>
      <c r="AH86" s="85" t="e">
        <f>AH87-U87</f>
        <v>#REF!</v>
      </c>
      <c r="AI86" s="85" t="e">
        <f>AI87-V87</f>
        <v>#REF!</v>
      </c>
      <c r="AJ86" t="s">
        <v>51</v>
      </c>
      <c r="AL86" s="123">
        <v>205843</v>
      </c>
      <c r="AM86" s="111">
        <v>0.504</v>
      </c>
      <c r="AN86" s="113">
        <v>0.37780000000000002</v>
      </c>
      <c r="AO86" s="113">
        <v>0.4592</v>
      </c>
      <c r="AP86" s="143"/>
      <c r="AQ86" s="143"/>
      <c r="AR86" s="143"/>
      <c r="AS86" s="143"/>
      <c r="AT86" s="144"/>
      <c r="AU86" s="144"/>
      <c r="AV86" s="144"/>
      <c r="AW86" s="144"/>
      <c r="AX86" s="144"/>
      <c r="AY86" s="144"/>
      <c r="AZ86" s="144"/>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c r="BX86" s="144"/>
      <c r="BY86" s="144"/>
      <c r="BZ86" s="144"/>
      <c r="CA86" s="44">
        <f>IF(S82&lt;AL75,CA75,IF(S82&lt;AL76,CA76,IF(S82&lt;AL77,CA77,IF(S82&lt;AL78,CA78,IF(S82&lt;AL79,CA79,IF(S82&lt;AL80,CA80,CA81))))))</f>
        <v>0</v>
      </c>
      <c r="CB86" s="44">
        <f>IF(T82&lt;AL75,CB75,IF(T82&lt;AL76,CB76,IF(T82&lt;AL77,CB77,IF(T82&lt;AL78,CB78,IF(T82&lt;AL79,CB79,IF(T82&lt;AL80,CB80,CB81))))))</f>
        <v>0</v>
      </c>
      <c r="CC86" s="44">
        <f>IF(U82&lt;AL75,CC75,IF(U82&lt;AL76,CC76,IF(U82&lt;AL77,CC77,IF(U82&lt;AL78,CC78,IF(U82&lt;AL79,CC79,IF(U82&lt;AL80,CC80,CC81))))))</f>
        <v>976.31327999999985</v>
      </c>
      <c r="CD86" s="44">
        <f>IF(V82&lt;AL75,CD75,IF(V82&lt;AL76,CD76,IF(V82&lt;AL77,CD77,IF(V82&lt;AL78,CD78,IF(V82&lt;AL79,CD79,IF(V82&lt;AL80,CD80,CD81))))))</f>
        <v>0</v>
      </c>
      <c r="CE86" s="44">
        <f>IF(W82&lt;AL75,CE75,IF(W82&lt;AL76,CE76,IF(W82&lt;AL77,CE77,IF(W82&lt;AL78,CE78,IF(W82&lt;AL79,CE79,IF(W82&lt;AL80,CE80,CE81))))))</f>
        <v>488.15663999999992</v>
      </c>
      <c r="CF86" s="44">
        <f>IF(X82&lt;AL75,CF75,IF(X82&lt;AL76,CF76,IF(X82&lt;AL77,CF77,IF(X82&lt;AL78,CF78,IF(X82&lt;AL79,CF79,IF(X82&lt;AL80,CF80,CF81))))))</f>
        <v>1306.1301599999999</v>
      </c>
      <c r="CG86" s="44">
        <f>IF(Y82&lt;AL75,CG75,IF(Y82&lt;AL76,CG76,IF(Y82&lt;AL77,CG77,IF(Y82&lt;AL78,CG78,IF(Y82&lt;AL79,CG79,IF(Y82&lt;AL80,CG80,CG81))))))</f>
        <v>2612.2603199999999</v>
      </c>
      <c r="CH86" s="44">
        <f>IF(Z82&lt;AL75,CH75,IF(Z82&lt;AL76,CH76,IF(Z82&lt;AL77,CH77,IF(Z82&lt;AL78,CH78,IF(Z82&lt;AL79,CH79,IF(Z82&lt;AL80,CH80,CH81))))))</f>
        <v>0</v>
      </c>
      <c r="CI86" s="44">
        <f>IF(AA82&lt;AL75,CI75,IF(AA82&lt;AL76,CI76,IF(AA82&lt;AL77,CI77,IF(AA82&lt;AL78,CI78,IF(AA82&lt;AL79,CI79,IF(AA82&lt;AL80,CI80,CI81))))))</f>
        <v>1408.8447552248949</v>
      </c>
      <c r="CJ86" s="44">
        <f>IF(AB82&lt;AL75,CJ75,IF(AB82&lt;AL76,CJ76,IF(AB82&lt;AL77,CJ77,IF(AB82&lt;AL78,CJ78,IF(AB82&lt;AL79,CJ79,IF(AB82&lt;AL80,CJ80,CJ81))))))</f>
        <v>0</v>
      </c>
      <c r="CK86" s="44">
        <f>IF(AC82&lt;AL75,CK75,IF(AC82&lt;AL76,CK76,IF(AC82&lt;AL77,CK77,IF(AC82&lt;AL78,CK78,IF(AC82&lt;AL79,CK79,IF(AC82&lt;AL80,CK80,CK81))))))</f>
        <v>0</v>
      </c>
      <c r="CL86" s="44">
        <f>IF(AD82&lt;AL75,CL75,IF(AD82&lt;AL76,CL76,IF(AD82&lt;AL77,CL77,IF(AD82&lt;AL78,CL78,IF(AD82&lt;AL79,CL79,IF(AD82&lt;AL80,CL80,CL81))))))</f>
        <v>813.75396510803387</v>
      </c>
      <c r="CM86" s="44">
        <f>IF(AE82&lt;AL75,CM75,IF(AE82&lt;AL76,CM76,IF(AE82&lt;AL77,CM77,IF(AE82&lt;AL78,CM78,IF(AE82&lt;AL79,CM79,IF(AE82&lt;AL80,CM80,CM81))))))</f>
        <v>0</v>
      </c>
      <c r="CN86" s="44" t="e">
        <f>IF(AF82&lt;AL75,CN75,IF(AF82&lt;AL76,CN76,IF(AF82&lt;AL77,CN77,IF(AF82&lt;AL78,CN78,IF(AF82&lt;AL79,CN79,IF(AF82&lt;AL80,CN80,CN81))))))</f>
        <v>#VALUE!</v>
      </c>
      <c r="CO86" s="44">
        <f>IF(AG82&lt;AL75,CO75,IF(AG82&lt;AL76,CO76,IF(AG82&lt;AL77,CO77,IF(AG82&lt;AL78,CO78,IF(AG82&lt;AL79,CO79,IF(AG82&lt;AL80,CO80,CO81))))))</f>
        <v>0</v>
      </c>
      <c r="CP86" s="44" t="e">
        <f>IF(AH82&lt;AL75,CP75,IF(AH82&lt;AL76,CP76,IF(AH82&lt;AL77,CP77,IF(AH82&lt;AL78,CP78,IF(AH82&lt;AL79,CP79,IF(AH82&lt;AL80,CP80,CP81))))))</f>
        <v>#REF!</v>
      </c>
      <c r="CQ86" s="44" t="e">
        <f>IF(AI82&lt;AL75,CQ75,IF(AI82&lt;AL76,CQ76,IF(AI82&lt;AL77,CQ77,IF(AI82&lt;AL78,CQ78,IF(AI82&lt;AL79,CQ79,IF(AI82&lt;AL80,CQ80,CQ81))))))</f>
        <v>#REF!</v>
      </c>
      <c r="CR86" s="13"/>
      <c r="CS86" s="13"/>
    </row>
    <row r="87" spans="1:116" hidden="1" x14ac:dyDescent="0.25">
      <c r="B87" s="290"/>
      <c r="C87" s="140" t="s">
        <v>297</v>
      </c>
      <c r="D87" s="140">
        <f>IF(I24="Year 15",D103,IF(I24="Year 16",D104,IF(I24="Year 17",D105,IF(I24="Year 18",D106,IF(I24="Year 19",D107,IF(I24="Year 20",D108,IF(I24="Year 21",D109,IF(I24="Year 22",D110,IF(I24="Year 23",D111,IF(I24="Year 24",D112,D113))))))))))</f>
        <v>234344.02273852294</v>
      </c>
      <c r="E87" s="97"/>
      <c r="F87">
        <f>IF(I24="Year 15",F103,IF(I24="Year 16",F104,IF(I24="Year 17",F105,IF(I24="Year 18",F106,IF(I24="Year 19",F107,IF(I24="Year 20",F108,IF(I24="Year 21",F109,IF(I24="Year 22",F110,IF(I24="Year 23",F111,IF(I24="Year 24",F112,F113))))))))))</f>
        <v>496400.70019058214</v>
      </c>
      <c r="L87" t="s">
        <v>208</v>
      </c>
      <c r="M87">
        <f>IF(S18&lt;0,0,IF(C6="AB",S39,IF(C6="BC",S70,IF(C6="MB",S87,IF(C6="NB",S138,IF(C6="NF",S172,IF(C6="NS",S155,IF(C6="ON",S18,IF(C6="PE",S189,IF(C6="PQ",S121,S104))))))))))</f>
        <v>8003.7415000000001</v>
      </c>
      <c r="Q87" s="2"/>
      <c r="R87" s="3" t="s">
        <v>53</v>
      </c>
      <c r="S87" s="72">
        <f t="shared" ref="S87:AI87" si="119">IF(S83+S84+S85-CV75-CV76&lt;0,0,S83+S84+S85-CV75-CV76)</f>
        <v>10427.6585</v>
      </c>
      <c r="T87" s="72">
        <f t="shared" si="119"/>
        <v>86062.871000000014</v>
      </c>
      <c r="U87" s="72">
        <f t="shared" si="119"/>
        <v>10035.986980000001</v>
      </c>
      <c r="V87" s="72">
        <f t="shared" si="119"/>
        <v>90216.959960000007</v>
      </c>
      <c r="W87" s="72">
        <f t="shared" si="119"/>
        <v>11602.095139999999</v>
      </c>
      <c r="X87" s="72">
        <f t="shared" si="119"/>
        <v>88409.257160000008</v>
      </c>
      <c r="Y87" s="72">
        <f t="shared" si="119"/>
        <v>90755.643320000017</v>
      </c>
      <c r="Z87" s="72">
        <f t="shared" si="119"/>
        <v>23541.229000000003</v>
      </c>
      <c r="AA87" s="72">
        <f t="shared" si="119"/>
        <v>8861.3951705067338</v>
      </c>
      <c r="AB87" s="72">
        <f t="shared" si="119"/>
        <v>23541.229000000003</v>
      </c>
      <c r="AC87" s="72">
        <f t="shared" si="119"/>
        <v>7732.2660000000014</v>
      </c>
      <c r="AD87" s="72">
        <f t="shared" si="119"/>
        <v>24976.702558380297</v>
      </c>
      <c r="AE87" s="72">
        <f t="shared" si="119"/>
        <v>7732.2660000000014</v>
      </c>
      <c r="AF87" s="72" t="e">
        <f t="shared" si="119"/>
        <v>#VALUE!</v>
      </c>
      <c r="AG87" s="72">
        <f t="shared" si="119"/>
        <v>244027.671</v>
      </c>
      <c r="AH87" s="72" t="e">
        <f t="shared" si="119"/>
        <v>#REF!</v>
      </c>
      <c r="AI87" s="72" t="e">
        <f t="shared" si="119"/>
        <v>#REF!</v>
      </c>
      <c r="AJ87" s="130">
        <f>IF((T87-S87-2250)&lt;26010,(T87-S87-2250),26010)</f>
        <v>26010</v>
      </c>
    </row>
    <row r="88" spans="1:116" ht="51" hidden="1" x14ac:dyDescent="0.25">
      <c r="B88" s="140"/>
      <c r="C88" s="140"/>
      <c r="D88" s="97" t="s">
        <v>240</v>
      </c>
      <c r="E88" s="299" t="s">
        <v>158</v>
      </c>
      <c r="F88" t="s">
        <v>199</v>
      </c>
      <c r="G88" t="s">
        <v>200</v>
      </c>
      <c r="H88" t="s">
        <v>201</v>
      </c>
      <c r="I88" t="s">
        <v>40</v>
      </c>
      <c r="J88" t="s">
        <v>253</v>
      </c>
      <c r="K88" t="s">
        <v>202</v>
      </c>
      <c r="L88" t="s">
        <v>206</v>
      </c>
      <c r="M88" t="s">
        <v>205</v>
      </c>
      <c r="N88" t="s">
        <v>203</v>
      </c>
      <c r="O88" t="s">
        <v>204</v>
      </c>
      <c r="P88" t="s">
        <v>287</v>
      </c>
      <c r="Q88" s="2" t="s">
        <v>207</v>
      </c>
      <c r="R88" s="7" t="s">
        <v>81</v>
      </c>
      <c r="S88" t="s">
        <v>55</v>
      </c>
      <c r="T88" t="s">
        <v>56</v>
      </c>
      <c r="U88" t="s">
        <v>55</v>
      </c>
      <c r="V88" t="s">
        <v>56</v>
      </c>
      <c r="W88" t="s">
        <v>55</v>
      </c>
      <c r="X88" t="s">
        <v>56</v>
      </c>
      <c r="Y88" t="s">
        <v>56</v>
      </c>
      <c r="Z88" t="s">
        <v>56</v>
      </c>
      <c r="AA88" t="s">
        <v>56</v>
      </c>
      <c r="AB88" t="s">
        <v>56</v>
      </c>
      <c r="AC88" t="s">
        <v>56</v>
      </c>
      <c r="AD88" t="s">
        <v>56</v>
      </c>
      <c r="AE88" t="s">
        <v>56</v>
      </c>
      <c r="AF88" t="s">
        <v>56</v>
      </c>
      <c r="AG88" t="s">
        <v>56</v>
      </c>
      <c r="AH88" t="s">
        <v>56</v>
      </c>
      <c r="AI88" t="s">
        <v>56</v>
      </c>
      <c r="AK88" s="9" t="s">
        <v>82</v>
      </c>
      <c r="AL88" s="10"/>
      <c r="AM88" s="11" t="s">
        <v>6</v>
      </c>
      <c r="AN88" s="9"/>
      <c r="AO88" s="9"/>
      <c r="AQ88" s="12"/>
      <c r="AT88" s="12"/>
      <c r="AU88" s="12"/>
      <c r="AV88" s="12"/>
      <c r="AW88" s="12"/>
      <c r="AX88" s="12"/>
      <c r="AY88" s="12"/>
      <c r="AZ88" s="12"/>
      <c r="BA88" s="12"/>
      <c r="BB88" s="12"/>
      <c r="BC88" s="12"/>
      <c r="BD88" s="12"/>
      <c r="BE88" s="12"/>
      <c r="BF88" s="12"/>
      <c r="BG88" s="12"/>
      <c r="BH88" s="12"/>
      <c r="BI88" s="12"/>
      <c r="BJ88" s="12" t="s">
        <v>9</v>
      </c>
      <c r="BK88" s="12"/>
      <c r="BL88" s="12"/>
      <c r="BM88" s="12"/>
      <c r="BN88" s="12"/>
      <c r="BO88" s="12"/>
      <c r="BP88" s="12"/>
      <c r="BQ88" s="12"/>
      <c r="BR88" s="12"/>
      <c r="BS88" s="12"/>
      <c r="BT88" s="12"/>
      <c r="BU88" s="12"/>
      <c r="BV88" s="12"/>
      <c r="BW88" s="12"/>
      <c r="BX88" s="12"/>
      <c r="BY88" s="12"/>
      <c r="BZ88" s="12"/>
      <c r="CA88" s="12" t="s">
        <v>58</v>
      </c>
      <c r="CB88" s="12"/>
      <c r="CC88" s="12"/>
      <c r="CD88" s="12"/>
      <c r="CE88" s="12"/>
      <c r="CF88" s="12"/>
      <c r="CG88" s="12"/>
      <c r="CH88" s="12"/>
      <c r="CI88" s="12"/>
      <c r="CJ88" s="12"/>
      <c r="CK88" s="12"/>
      <c r="CL88" s="12"/>
      <c r="CM88" s="12"/>
      <c r="CN88" s="12"/>
      <c r="CO88" s="12"/>
      <c r="CP88" s="12"/>
      <c r="CQ88" s="12"/>
      <c r="CS88" s="13"/>
    </row>
    <row r="89" spans="1:116" ht="15.75" hidden="1" x14ac:dyDescent="0.25">
      <c r="B89" s="140"/>
      <c r="C89" s="140"/>
      <c r="D89" s="140">
        <f>G6</f>
        <v>344000</v>
      </c>
      <c r="E89" t="s">
        <v>223</v>
      </c>
      <c r="F89" s="130">
        <f>G6</f>
        <v>344000</v>
      </c>
      <c r="G89">
        <f>F89*G16</f>
        <v>6914.4</v>
      </c>
      <c r="H89" s="140">
        <f>F89*G17</f>
        <v>4128</v>
      </c>
      <c r="I89" s="140">
        <f>F89*G15</f>
        <v>17200</v>
      </c>
      <c r="J89" s="140">
        <f>G7*D89</f>
        <v>8242.24</v>
      </c>
      <c r="K89" s="117">
        <f>(G7*G6)/F89</f>
        <v>2.3959999999999999E-2</v>
      </c>
      <c r="L89" s="130">
        <f>(G89-C8-(G6*G7)+C7+H89)</f>
        <v>52000.160000000003</v>
      </c>
      <c r="M89" s="117">
        <f>IF(M87&lt;100,0,IF(L89&gt;M25,O26,IF(L89&gt;M24,O25,IF(L89&gt;M23,O24,IF(L89&gt;M22,O23,IF(L89&gt;M21,O22,IF(L89&gt;M20,O21,IF(L89&gt;M19,O20,IF(L89&gt;M18,O19,IF(L89&gt;M17,O18,IF(L89&gt;M16,O17,O16)))))))))))</f>
        <v>6.3899999999999998E-2</v>
      </c>
      <c r="N89" s="117">
        <f>(M89*G89)/F89</f>
        <v>1.2843899999999998E-3</v>
      </c>
      <c r="O89" s="117">
        <f>(IF(L89&gt;M25,N26,IF(L89&gt;M24,N25,IF(L89&gt;M23,N24,IF(L89&gt;M22,N23,IF(L89&gt;M21,N22,IF(L89&gt;M20,N21,IF(L89&gt;M19,N20,IF(L89&gt;M18,N19,IF(L89&gt;M17,N18,IF(L89&gt;M16,N17,N16))))))))))*H89)/F89</f>
        <v>3.558E-3</v>
      </c>
      <c r="P89" s="117">
        <f>N89+O89</f>
        <v>4.8423900000000002E-3</v>
      </c>
      <c r="Q89" s="261">
        <f t="shared" ref="Q89:Q114" si="120">K89+N89+O89</f>
        <v>2.8802389999999997E-2</v>
      </c>
      <c r="R89" s="3" t="s">
        <v>11</v>
      </c>
      <c r="S89" s="97">
        <f t="shared" ref="S89:Z92" si="121">S72</f>
        <v>60000</v>
      </c>
      <c r="T89" s="97">
        <f t="shared" si="121"/>
        <v>250000</v>
      </c>
      <c r="U89" s="97">
        <f t="shared" si="121"/>
        <v>55885.760000000002</v>
      </c>
      <c r="V89" s="97">
        <f t="shared" si="121"/>
        <v>258242.24</v>
      </c>
      <c r="W89" s="97">
        <f t="shared" si="121"/>
        <v>62064</v>
      </c>
      <c r="X89" s="97">
        <f t="shared" si="121"/>
        <v>252064</v>
      </c>
      <c r="Y89" s="97">
        <f t="shared" si="121"/>
        <v>254128</v>
      </c>
      <c r="Z89" s="97">
        <f t="shared" si="121"/>
        <v>0</v>
      </c>
      <c r="AA89" s="97">
        <f t="shared" ref="AA89:AH92" si="122">AA72</f>
        <v>0</v>
      </c>
      <c r="AB89" s="97">
        <f t="shared" si="122"/>
        <v>0</v>
      </c>
      <c r="AC89" s="97">
        <f t="shared" si="122"/>
        <v>0</v>
      </c>
      <c r="AD89" s="97">
        <f t="shared" si="122"/>
        <v>0</v>
      </c>
      <c r="AE89" s="97">
        <f t="shared" si="122"/>
        <v>0</v>
      </c>
      <c r="AF89" s="97">
        <f t="shared" si="122"/>
        <v>0</v>
      </c>
      <c r="AG89" s="97">
        <f t="shared" si="122"/>
        <v>250000</v>
      </c>
      <c r="AH89" s="97">
        <f t="shared" si="122"/>
        <v>0</v>
      </c>
      <c r="AI89" s="97">
        <f t="shared" ref="AI89" si="123">AI72</f>
        <v>0</v>
      </c>
      <c r="AJ89" s="196">
        <f>W103+X103</f>
        <v>3066.8718000000026</v>
      </c>
      <c r="AK89" s="9"/>
      <c r="AL89" s="10"/>
      <c r="AM89" s="98"/>
      <c r="AN89" s="9" t="s">
        <v>7</v>
      </c>
      <c r="AO89" s="9" t="s">
        <v>83</v>
      </c>
      <c r="AP89" s="99"/>
      <c r="AQ89" s="100" t="s">
        <v>12</v>
      </c>
      <c r="AR89" s="100"/>
      <c r="AS89" s="101" t="s">
        <v>55</v>
      </c>
      <c r="AT89" t="s">
        <v>56</v>
      </c>
      <c r="BJ89" s="16" t="s">
        <v>16</v>
      </c>
      <c r="BK89" s="16"/>
      <c r="BL89" s="16"/>
      <c r="BM89" s="16"/>
      <c r="BN89" s="16"/>
      <c r="BO89" s="16"/>
      <c r="BP89" s="16"/>
      <c r="BQ89" s="16"/>
      <c r="BR89" s="16"/>
      <c r="BS89" s="16"/>
      <c r="BT89" s="16"/>
      <c r="BU89" s="16"/>
      <c r="BV89" s="16"/>
      <c r="BW89" s="16"/>
      <c r="BX89" s="16"/>
      <c r="BY89" s="16"/>
      <c r="BZ89" s="16"/>
      <c r="CA89" t="s">
        <v>16</v>
      </c>
      <c r="CR89" t="s">
        <v>17</v>
      </c>
      <c r="CT89" s="100"/>
      <c r="CU89" s="100"/>
      <c r="CV89" s="100"/>
      <c r="CW89" s="100"/>
    </row>
    <row r="90" spans="1:116" ht="15.75" hidden="1" x14ac:dyDescent="0.25">
      <c r="B90" s="140"/>
      <c r="C90" s="140"/>
      <c r="D90" s="140">
        <f>D89-D89*H20</f>
        <v>337120</v>
      </c>
      <c r="E90">
        <v>2</v>
      </c>
      <c r="F90" s="140">
        <f>F89+F89*(G15+G16+G17-Q89-H20)</f>
        <v>355454.37783999997</v>
      </c>
      <c r="G90" s="140">
        <f>F90*G16</f>
        <v>7144.6329945839998</v>
      </c>
      <c r="H90" s="140">
        <f>F90*G17</f>
        <v>4265.4525340800001</v>
      </c>
      <c r="I90" s="140">
        <f>F90*G15</f>
        <v>17772.718892000001</v>
      </c>
      <c r="J90" s="140">
        <f>G7*D90</f>
        <v>8077.3951999999999</v>
      </c>
      <c r="K90" s="117">
        <f>(G7*G6)/F90</f>
        <v>2.3187898402281217E-2</v>
      </c>
      <c r="L90" s="97">
        <f>(G90-C8-(G6*G7)+C7+H90)</f>
        <v>52367.845528664002</v>
      </c>
      <c r="M90" s="117">
        <f>IF(M87&lt;100,0,IF(L90&gt;M25,O26,IF(L90&gt;M24,O25,IF(L90&gt;M23,O24,IF(L90&gt;M22,O23,IF(L90&gt;M21,O22,IF(L90&gt;M20,O21,IF(L90&gt;M19,O20,IF(L90&gt;M18,O19,IF(L90&gt;M17,O18,IF(L90&gt;M16,O17,O16)))))))))))</f>
        <v>6.3899999999999998E-2</v>
      </c>
      <c r="N90" s="117">
        <f t="shared" ref="N90:N114" si="124">(M90*G90)/F90</f>
        <v>1.2843900000000001E-3</v>
      </c>
      <c r="O90" s="117">
        <f>(IF(L90&gt;M25,N26,IF(L90&gt;M24,N25,IF(L90&gt;M23,N24,IF(L90&gt;M22,N23,IF(L90&gt;M21,N22,IF(L90&gt;M20,N21,IF(L90&gt;M19,N20,IF(L90&gt;M18,N19,IF(L90&gt;M17,N18,IF(L90&gt;M16,N17,N16))))))))))*H90)/F90</f>
        <v>3.5580000000000004E-3</v>
      </c>
      <c r="P90" s="117">
        <f t="shared" ref="P90:P114" si="125">N90+O90</f>
        <v>4.8423900000000002E-3</v>
      </c>
      <c r="Q90" s="261">
        <f t="shared" si="120"/>
        <v>2.8030288402281216E-2</v>
      </c>
      <c r="R90" s="3" t="s">
        <v>18</v>
      </c>
      <c r="S90" s="97">
        <f t="shared" si="121"/>
        <v>10800</v>
      </c>
      <c r="T90" s="97">
        <f t="shared" si="121"/>
        <v>26010</v>
      </c>
      <c r="U90" s="97">
        <f t="shared" si="121"/>
        <v>10800</v>
      </c>
      <c r="V90" s="97">
        <f t="shared" si="121"/>
        <v>26010</v>
      </c>
      <c r="W90" s="97">
        <f t="shared" si="121"/>
        <v>10800</v>
      </c>
      <c r="X90" s="97">
        <f t="shared" si="121"/>
        <v>26010</v>
      </c>
      <c r="Y90" s="97">
        <f t="shared" si="121"/>
        <v>26010</v>
      </c>
      <c r="Z90" s="97">
        <f t="shared" si="121"/>
        <v>0</v>
      </c>
      <c r="AA90" s="97">
        <f t="shared" si="122"/>
        <v>-40000</v>
      </c>
      <c r="AB90" s="97">
        <f t="shared" si="122"/>
        <v>0</v>
      </c>
      <c r="AC90" s="97">
        <f t="shared" si="122"/>
        <v>-40000</v>
      </c>
      <c r="AD90" s="97">
        <f t="shared" si="122"/>
        <v>0</v>
      </c>
      <c r="AE90" s="97">
        <f t="shared" si="122"/>
        <v>-40000</v>
      </c>
      <c r="AF90" s="97">
        <f t="shared" si="122"/>
        <v>-40000</v>
      </c>
      <c r="AG90" s="97">
        <f t="shared" si="122"/>
        <v>26010</v>
      </c>
      <c r="AH90" s="97">
        <f t="shared" si="122"/>
        <v>0</v>
      </c>
      <c r="AI90" s="97">
        <f t="shared" ref="AI90" si="126">AI73</f>
        <v>-40000</v>
      </c>
      <c r="AK90" s="102"/>
      <c r="AL90" s="103"/>
      <c r="AM90" s="104"/>
      <c r="AN90" s="9"/>
      <c r="AO90" s="9"/>
      <c r="AP90" s="100" t="s">
        <v>19</v>
      </c>
      <c r="AQ90" s="100" t="s">
        <v>20</v>
      </c>
      <c r="AR90" s="105" t="s">
        <v>21</v>
      </c>
      <c r="AS90" s="106" t="s">
        <v>22</v>
      </c>
      <c r="BJ90" s="16" t="s">
        <v>23</v>
      </c>
      <c r="BK90" s="16"/>
      <c r="BL90" s="16"/>
      <c r="BM90" s="16"/>
      <c r="BN90" s="16"/>
      <c r="BO90" s="16"/>
      <c r="BP90" s="16"/>
      <c r="BQ90" s="16"/>
      <c r="BR90" s="16"/>
      <c r="BS90" s="16"/>
      <c r="BT90" s="16"/>
      <c r="BU90" s="16"/>
      <c r="BV90" s="16"/>
      <c r="BW90" s="16"/>
      <c r="BX90" s="16"/>
      <c r="BY90" s="16"/>
      <c r="BZ90" s="16"/>
      <c r="CA90" t="s">
        <v>22</v>
      </c>
    </row>
    <row r="91" spans="1:116" ht="15.75" hidden="1" x14ac:dyDescent="0.25">
      <c r="B91" s="140"/>
      <c r="C91" s="140"/>
      <c r="D91" s="140">
        <f>D90-D90*H20</f>
        <v>330377.59999999998</v>
      </c>
      <c r="E91">
        <v>3</v>
      </c>
      <c r="F91" s="140">
        <f>F90+F90*(G15+G16+G17-Q90-H20)</f>
        <v>367564.60597915534</v>
      </c>
      <c r="G91" s="140">
        <f>F91*G16</f>
        <v>7388.0485801810219</v>
      </c>
      <c r="H91" s="140">
        <f>F91*G17</f>
        <v>4410.7752717498643</v>
      </c>
      <c r="I91" s="140">
        <f>F91*G15</f>
        <v>18378.230298957769</v>
      </c>
      <c r="J91" s="140">
        <f>G7*D91</f>
        <v>7915.847295999999</v>
      </c>
      <c r="K91" s="117">
        <f>(G7*G6)/F91</f>
        <v>2.2423921851897292E-2</v>
      </c>
      <c r="L91" s="97">
        <f>(G91-C8-(G6*G7)+C7+H91)</f>
        <v>52756.583851930889</v>
      </c>
      <c r="M91" s="117">
        <f>IF(M87&lt;100,0,IF(L91&gt;M25,O26,IF(L91&gt;M24,O25,IF(L91&gt;M23,O24,IF(L91&gt;M22,O23,IF(L91&gt;M21,O22,IF(L91&gt;M20,O21,IF(L91&gt;M19,O20,IF(L91&gt;M18,O19,IF(L91&gt;M17,O18,IF(L91&gt;M16,O17,O16)))))))))))</f>
        <v>6.3899999999999998E-2</v>
      </c>
      <c r="N91" s="117">
        <f t="shared" si="124"/>
        <v>1.2843899999999998E-3</v>
      </c>
      <c r="O91" s="117">
        <f>(IF(L91&gt;M25,N26,IF(L91&gt;M24,N25,IF(L91&gt;M23,N24,IF(L91&gt;M22,N23,IF(L91&gt;M21,N22,IF(L91&gt;M20,N21,IF(L91&gt;M19,N20,IF(L91&gt;M18,N19,IF(L91&gt;M17,N18,IF(L91&gt;M16,N17,N16))))))))))*H91)/F91</f>
        <v>3.5580000000000004E-3</v>
      </c>
      <c r="P91" s="117">
        <f t="shared" si="125"/>
        <v>4.8423900000000002E-3</v>
      </c>
      <c r="Q91" s="261">
        <f t="shared" si="120"/>
        <v>2.726631185189729E-2</v>
      </c>
      <c r="R91" s="3"/>
      <c r="S91" s="97">
        <f t="shared" si="121"/>
        <v>0</v>
      </c>
      <c r="T91" s="97">
        <f t="shared" si="121"/>
        <v>0</v>
      </c>
      <c r="U91" s="97">
        <f t="shared" si="121"/>
        <v>0</v>
      </c>
      <c r="V91" s="97">
        <f t="shared" si="121"/>
        <v>0</v>
      </c>
      <c r="W91" s="97">
        <f t="shared" si="121"/>
        <v>0</v>
      </c>
      <c r="X91" s="97">
        <f t="shared" si="121"/>
        <v>0</v>
      </c>
      <c r="Y91" s="97">
        <f t="shared" si="121"/>
        <v>0</v>
      </c>
      <c r="Z91" s="97">
        <f t="shared" si="121"/>
        <v>0</v>
      </c>
      <c r="AA91" s="97">
        <f t="shared" si="122"/>
        <v>0</v>
      </c>
      <c r="AB91" s="97">
        <f t="shared" si="122"/>
        <v>0</v>
      </c>
      <c r="AC91" s="97">
        <f t="shared" si="122"/>
        <v>0</v>
      </c>
      <c r="AD91" s="97">
        <f t="shared" si="122"/>
        <v>0</v>
      </c>
      <c r="AE91" s="97">
        <f t="shared" si="122"/>
        <v>0</v>
      </c>
      <c r="AF91" s="97">
        <f t="shared" si="122"/>
        <v>0</v>
      </c>
      <c r="AG91" s="97">
        <f t="shared" si="122"/>
        <v>0</v>
      </c>
      <c r="AH91" s="97">
        <f t="shared" si="122"/>
        <v>0</v>
      </c>
      <c r="AI91" s="97">
        <f t="shared" ref="AI91" si="127">AI74</f>
        <v>0</v>
      </c>
      <c r="AK91" s="102"/>
      <c r="AL91" s="103"/>
      <c r="AM91" s="108"/>
      <c r="AN91" s="9"/>
      <c r="AO91" s="9"/>
      <c r="AP91" s="100"/>
      <c r="AQ91" s="100"/>
      <c r="AR91" s="105"/>
      <c r="AS91" s="106"/>
      <c r="BJ91" s="16"/>
      <c r="BK91" s="16"/>
      <c r="BL91" s="16"/>
      <c r="BM91" s="16"/>
      <c r="BN91" s="16"/>
      <c r="BO91" s="16"/>
      <c r="BP91" s="16"/>
      <c r="BQ91" s="16"/>
      <c r="BR91" s="16"/>
      <c r="BS91" s="16"/>
      <c r="BT91" s="16"/>
      <c r="BU91" s="16"/>
      <c r="BV91" s="16"/>
      <c r="BW91" s="16"/>
      <c r="BX91" s="16"/>
      <c r="BY91" s="16"/>
      <c r="BZ91" s="16"/>
      <c r="CS91" t="s">
        <v>25</v>
      </c>
      <c r="CT91" t="s">
        <v>26</v>
      </c>
      <c r="CU91" t="s">
        <v>27</v>
      </c>
      <c r="CV91" s="16" t="s">
        <v>28</v>
      </c>
      <c r="CW91" s="16" t="s">
        <v>61</v>
      </c>
      <c r="CX91" s="16" t="s">
        <v>62</v>
      </c>
      <c r="CY91" s="16" t="s">
        <v>63</v>
      </c>
      <c r="CZ91" s="16" t="s">
        <v>64</v>
      </c>
      <c r="DA91" s="16" t="s">
        <v>65</v>
      </c>
      <c r="DB91" s="16" t="s">
        <v>3</v>
      </c>
      <c r="DC91" s="16" t="s">
        <v>4</v>
      </c>
      <c r="DD91" s="16" t="s">
        <v>13</v>
      </c>
      <c r="DE91" s="4" t="s">
        <v>170</v>
      </c>
      <c r="DF91" s="4" t="s">
        <v>171</v>
      </c>
      <c r="DG91" s="4" t="s">
        <v>172</v>
      </c>
      <c r="DH91" s="4" t="s">
        <v>174</v>
      </c>
      <c r="DI91" s="4" t="s">
        <v>176</v>
      </c>
      <c r="DJ91" s="4" t="s">
        <v>192</v>
      </c>
      <c r="DK91" s="4" t="s">
        <v>196</v>
      </c>
      <c r="DL91" s="4" t="s">
        <v>198</v>
      </c>
    </row>
    <row r="92" spans="1:116" ht="15.75" hidden="1" x14ac:dyDescent="0.25">
      <c r="B92" s="140"/>
      <c r="C92" s="140"/>
      <c r="D92" s="140">
        <f>D91-D91*H20</f>
        <v>323770.04799999995</v>
      </c>
      <c r="E92">
        <v>4</v>
      </c>
      <c r="F92" s="140">
        <f>F91+F91*(G15+G16+G17-Q91-H20)</f>
        <v>380368.23683811346</v>
      </c>
      <c r="G92" s="140">
        <f>F92*G16</f>
        <v>7645.4015604460801</v>
      </c>
      <c r="H92" s="140">
        <f>F92*G17</f>
        <v>4564.4188420573619</v>
      </c>
      <c r="I92" s="140">
        <f>F92*G15</f>
        <v>19018.411841905672</v>
      </c>
      <c r="J92" s="140">
        <f>G7*D92</f>
        <v>7757.5303500799982</v>
      </c>
      <c r="K92" s="117">
        <f>(G7*G6)/F92</f>
        <v>2.166910693835862E-2</v>
      </c>
      <c r="L92" s="97">
        <f>(G92-C8-(G6*G7)+C7+H92)</f>
        <v>53167.580402503445</v>
      </c>
      <c r="M92" s="117">
        <f>IF(M87&lt;100,0,IF(L92&gt;M25,O26,IF(L92&gt;M24,O25,IF(L92&gt;M23,O24,IF(L92&gt;M22,O23,IF(L92&gt;M21,O22,IF(L92&gt;M20,O21,IF(L92&gt;M19,O20,IF(L92&gt;M18,O19,IF(L92&gt;M17,O18,IF(L92&gt;M16,O17,O16)))))))))))</f>
        <v>6.3899999999999998E-2</v>
      </c>
      <c r="N92" s="117">
        <f t="shared" si="124"/>
        <v>1.2843899999999998E-3</v>
      </c>
      <c r="O92" s="117">
        <f>(IF(L92&gt;M25,N26,IF(L92&gt;M24,N25,IF(L92&gt;M23,N24,IF(L92&gt;M22,N23,IF(L92&gt;M21,N22,IF(L92&gt;M20,N21,IF(L92&gt;M19,N20,IF(L92&gt;M18,N19,IF(L92&gt;M17,N18,IF(L92&gt;M16,N17,N16))))))))))*H92)/F92</f>
        <v>3.5580000000000004E-3</v>
      </c>
      <c r="P92" s="117">
        <f t="shared" si="125"/>
        <v>4.8423900000000002E-3</v>
      </c>
      <c r="Q92" s="261">
        <f t="shared" si="120"/>
        <v>2.6511496938358622E-2</v>
      </c>
      <c r="R92" s="3" t="s">
        <v>31</v>
      </c>
      <c r="S92" s="97">
        <f t="shared" si="121"/>
        <v>0</v>
      </c>
      <c r="T92" s="97">
        <f t="shared" si="121"/>
        <v>0</v>
      </c>
      <c r="U92" s="97">
        <f t="shared" si="121"/>
        <v>0</v>
      </c>
      <c r="V92" s="97">
        <f t="shared" si="121"/>
        <v>0</v>
      </c>
      <c r="W92" s="97">
        <f t="shared" si="121"/>
        <v>0</v>
      </c>
      <c r="X92" s="97">
        <f t="shared" si="121"/>
        <v>0</v>
      </c>
      <c r="Y92" s="97">
        <f t="shared" si="121"/>
        <v>0</v>
      </c>
      <c r="Z92" s="97">
        <f t="shared" si="121"/>
        <v>100000</v>
      </c>
      <c r="AA92" s="97">
        <f t="shared" si="122"/>
        <v>0</v>
      </c>
      <c r="AB92" s="97">
        <f t="shared" si="122"/>
        <v>100000</v>
      </c>
      <c r="AC92" s="97">
        <f t="shared" si="122"/>
        <v>0</v>
      </c>
      <c r="AD92" s="97">
        <f t="shared" si="122"/>
        <v>100000</v>
      </c>
      <c r="AE92" s="97">
        <f t="shared" si="122"/>
        <v>0</v>
      </c>
      <c r="AF92" s="97">
        <f t="shared" si="122"/>
        <v>0</v>
      </c>
      <c r="AG92" s="97">
        <f t="shared" si="122"/>
        <v>344000</v>
      </c>
      <c r="AH92" s="97" t="e">
        <f t="shared" si="122"/>
        <v>#REF!</v>
      </c>
      <c r="AI92" s="97" t="e">
        <f t="shared" ref="AI92" si="128">AI75</f>
        <v>#REF!</v>
      </c>
      <c r="AK92" s="110">
        <v>0</v>
      </c>
      <c r="AL92" s="110">
        <v>45225</v>
      </c>
      <c r="AM92" s="111">
        <v>0.255</v>
      </c>
      <c r="AN92" s="113">
        <v>-2.9999999999999997E-4</v>
      </c>
      <c r="AO92" s="113">
        <v>0.1424</v>
      </c>
      <c r="AP92" s="13">
        <f t="shared" ref="AP92:AP97" si="129">AL92-AK92</f>
        <v>45225</v>
      </c>
      <c r="AQ92" s="13">
        <f t="shared" ref="AQ92:AQ98" si="130">AP92*AM92</f>
        <v>11532.375</v>
      </c>
      <c r="AR92" s="97">
        <f>AQ92</f>
        <v>11532.375</v>
      </c>
      <c r="AS92" s="114">
        <f>S98*AM92</f>
        <v>12546</v>
      </c>
      <c r="AT92" s="114">
        <f>T98*AM92</f>
        <v>57117.450000000004</v>
      </c>
      <c r="AU92" s="115">
        <f>U98*AM92</f>
        <v>11496.8688</v>
      </c>
      <c r="AV92" s="115">
        <f>V98*AM92</f>
        <v>59219.2212</v>
      </c>
      <c r="AW92" s="115">
        <f>W98*AM92</f>
        <v>13072.32</v>
      </c>
      <c r="AX92" s="43">
        <f>X98*AM92</f>
        <v>57643.770000000004</v>
      </c>
      <c r="AY92" s="115">
        <f>Y98*AM92</f>
        <v>58170.090000000004</v>
      </c>
      <c r="AZ92" s="115">
        <f>Z98*AM92</f>
        <v>0</v>
      </c>
      <c r="BA92" s="115">
        <f>AA98*AM92</f>
        <v>10264.338160592088</v>
      </c>
      <c r="BB92" s="43">
        <f>AB98*AM92</f>
        <v>0</v>
      </c>
      <c r="BC92" s="43">
        <f>AC98*AM92</f>
        <v>10200</v>
      </c>
      <c r="BD92" s="43">
        <f>AD98*AM92</f>
        <v>365.2960743880808</v>
      </c>
      <c r="BE92" s="43">
        <f>AE98*AM92</f>
        <v>10200</v>
      </c>
      <c r="BF92" s="43" t="e">
        <f>AF98*AM92</f>
        <v>#VALUE!</v>
      </c>
      <c r="BG92" s="43">
        <f>AG98*AM92</f>
        <v>57117.450000000004</v>
      </c>
      <c r="BH92" s="43">
        <f>AH98*AM92</f>
        <v>0</v>
      </c>
      <c r="BI92" s="43">
        <f>AI98*AM92</f>
        <v>10200</v>
      </c>
      <c r="BJ92" s="115">
        <f>S92*AO92</f>
        <v>0</v>
      </c>
      <c r="BK92" s="147">
        <f>T92*AO92</f>
        <v>0</v>
      </c>
      <c r="BL92" s="115">
        <f>U92*AO92</f>
        <v>0</v>
      </c>
      <c r="BM92" s="115">
        <f>V92*AO92</f>
        <v>0</v>
      </c>
      <c r="BN92" s="115">
        <f>W92*AO92</f>
        <v>0</v>
      </c>
      <c r="BO92" s="115">
        <f>X92*AO92</f>
        <v>0</v>
      </c>
      <c r="BP92" s="43">
        <f>Y92*AO92</f>
        <v>0</v>
      </c>
      <c r="BQ92" s="43">
        <f>Z92*AO92</f>
        <v>14240</v>
      </c>
      <c r="BR92" s="43">
        <f>AA92*AO92</f>
        <v>0</v>
      </c>
      <c r="BS92" s="43">
        <f>AB92*AO92</f>
        <v>14240</v>
      </c>
      <c r="BT92" s="43">
        <f>AC92*AO92</f>
        <v>0</v>
      </c>
      <c r="BU92" s="43">
        <f>AD92*AO92</f>
        <v>14240</v>
      </c>
      <c r="BV92" s="43">
        <f>AE92*AO92</f>
        <v>0</v>
      </c>
      <c r="BW92" s="43">
        <f>AF92*AO92</f>
        <v>0</v>
      </c>
      <c r="BX92" s="43">
        <f>AG92*AO92</f>
        <v>48985.599999999999</v>
      </c>
      <c r="BY92" s="43" t="e">
        <f>AH92*AO92</f>
        <v>#REF!</v>
      </c>
      <c r="BZ92" s="43" t="e">
        <f>AI92*AO92</f>
        <v>#REF!</v>
      </c>
      <c r="CA92" s="44">
        <f>AN92*S94</f>
        <v>0</v>
      </c>
      <c r="CB92" s="44">
        <f>AN92*T94</f>
        <v>0</v>
      </c>
      <c r="CC92" s="44">
        <f>AN92*U94</f>
        <v>-2.0743199999999997</v>
      </c>
      <c r="CD92" s="44">
        <f>AN92*V94</f>
        <v>0</v>
      </c>
      <c r="CE92" s="44">
        <f>AN92*W94</f>
        <v>-1.0371599999999999</v>
      </c>
      <c r="CF92" s="44">
        <f>AN92*X94</f>
        <v>-1.0371599999999999</v>
      </c>
      <c r="CG92" s="44">
        <f>AN92*Y94</f>
        <v>-2.0743199999999997</v>
      </c>
      <c r="CH92" s="44">
        <f>AN92*Z94</f>
        <v>0</v>
      </c>
      <c r="CI92" s="44">
        <f>AN92*AA94</f>
        <v>-2.9932962221492101</v>
      </c>
      <c r="CJ92" s="44">
        <f>AN92*AB94</f>
        <v>0</v>
      </c>
      <c r="CK92" s="44">
        <f>AN92*AC94</f>
        <v>0</v>
      </c>
      <c r="CL92" s="44">
        <f>AN92*AD94</f>
        <v>-0.86815856874968034</v>
      </c>
      <c r="CM92" s="44">
        <f>AN92*AE94</f>
        <v>0</v>
      </c>
      <c r="CN92" s="44">
        <f>AN92*AF94</f>
        <v>0</v>
      </c>
      <c r="CO92" s="44">
        <f>AN92*AG94</f>
        <v>0</v>
      </c>
      <c r="CP92" s="44">
        <f>AN92*AH94</f>
        <v>0</v>
      </c>
      <c r="CQ92" s="44">
        <f>AN92*AI94</f>
        <v>-1.2918682408375173E-5</v>
      </c>
      <c r="CR92" t="s">
        <v>32</v>
      </c>
      <c r="CS92">
        <v>11635</v>
      </c>
      <c r="CT92" s="117">
        <v>0.15</v>
      </c>
      <c r="CU92">
        <f>CT92*CS92</f>
        <v>1745.25</v>
      </c>
      <c r="CV92" s="16">
        <f>IF(S99&gt;CS92,CU92,CU92-(CS92-S99)*CT92)</f>
        <v>1745.25</v>
      </c>
      <c r="CW92" s="16">
        <f>IF(T99&gt;CS92,CU92,CU92-(CS92-T99)*CT92)</f>
        <v>1745.25</v>
      </c>
      <c r="CX92" s="16">
        <f>IF(U99&gt;CS92,CU92,CU92-(CS92-U99)*CT92)</f>
        <v>1745.25</v>
      </c>
      <c r="CY92" s="16">
        <f>IF(V99&gt;CS92,CU92,CU92-(CS92-V99)*CT92)</f>
        <v>1745.25</v>
      </c>
      <c r="CZ92" s="16">
        <f>IF(W99&gt;CS92,CU92,CU92-(CS92-W99)*CT92)</f>
        <v>1745.25</v>
      </c>
      <c r="DA92" s="16">
        <f>IF(X99&gt;CS92,CU92,CU92-(CS92-X99)*CT92)</f>
        <v>1745.25</v>
      </c>
      <c r="DB92" s="16">
        <f>IF(Y99&gt;CS92,CU92,CU92-(CS92-Y99)*CT92)</f>
        <v>1745.25</v>
      </c>
      <c r="DC92" s="16">
        <f>IF(Z99&gt;CS92,CU92,CU92-(CS92-Z99)*CT92)</f>
        <v>1745.25</v>
      </c>
      <c r="DD92" s="16">
        <f>IF(AA99&gt;CS92,CU92,CU92-(CS92-AA99)*CT92)</f>
        <v>1745.25</v>
      </c>
      <c r="DE92" s="219">
        <f>IF(AB99&gt;CS92,CU92,CU92-(CS92-AB99)*CT92)</f>
        <v>1745.25</v>
      </c>
      <c r="DF92" s="219">
        <f>IF(AC99&gt;CS92,CU92,CU92-(CS92-AC99)*CT92)</f>
        <v>1745.25</v>
      </c>
      <c r="DG92" s="219">
        <f>IF(AD99&gt;CS92,CU92,CU92-(CS92-AD99)*CT92)</f>
        <v>1745.25</v>
      </c>
      <c r="DH92" s="219">
        <f>IF(AE99&gt;CS92,CU92,CU92-(CS92-AE99)*CT92)</f>
        <v>1745.25</v>
      </c>
      <c r="DI92" s="219" t="e">
        <f>IF(AF99&gt;CS92,CU92,CU92-(CS92-AF99)*CT92)</f>
        <v>#VALUE!</v>
      </c>
      <c r="DJ92" s="219">
        <f>IF(AG99&gt;CS92,CU92,CU92-(CS92-AG99)*CT92)</f>
        <v>1745.25</v>
      </c>
      <c r="DK92" s="219" t="e">
        <f>IF(AH99&gt;CS92,CU92,CU92-(CS92-AH99)*CT92)</f>
        <v>#REF!</v>
      </c>
      <c r="DL92" s="219" t="e">
        <f>IF(AI99&gt;CS92,CU92,CU92-(CS92-AI99)*CT92)</f>
        <v>#REF!</v>
      </c>
    </row>
    <row r="93" spans="1:116" ht="15.75" hidden="1" x14ac:dyDescent="0.25">
      <c r="B93" s="140"/>
      <c r="C93" s="140"/>
      <c r="D93" s="140">
        <f>D92-D92*H20</f>
        <v>317294.64703999995</v>
      </c>
      <c r="E93">
        <v>5</v>
      </c>
      <c r="F93" s="140">
        <f>F92+F92*(G15+G16+G17-Q92-H20)</f>
        <v>393904.97299937776</v>
      </c>
      <c r="G93" s="140">
        <f>F93*G16</f>
        <v>7917.4899572874929</v>
      </c>
      <c r="H93" s="140">
        <f>F93*G17</f>
        <v>4726.8596759925331</v>
      </c>
      <c r="I93" s="140">
        <f>F93*G15</f>
        <v>19695.248649968889</v>
      </c>
      <c r="J93" s="140">
        <f>G7*D93</f>
        <v>7602.3797430783989</v>
      </c>
      <c r="K93" s="117">
        <f>(G7*G6)/F93</f>
        <v>2.0924437529284558E-2</v>
      </c>
      <c r="L93" s="97">
        <f>(G93-C8-(G6*G7)+C7+H93)</f>
        <v>53602.10963328003</v>
      </c>
      <c r="M93" s="117">
        <f>IF(M87&lt;100,0,IF(L93&gt;M25,O26,IF(L93&gt;M24,O25,IF(L93&gt;M23,O24,IF(L93&gt;M22,O23,IF(L93&gt;M21,O22,IF(L93&gt;M20,O21,IF(L93&gt;M19,O20,IF(L93&gt;M18,O19,IF(L93&gt;M17,O18,IF(L93&gt;M16,O17,O16)))))))))))</f>
        <v>6.3899999999999998E-2</v>
      </c>
      <c r="N93" s="117">
        <f t="shared" si="124"/>
        <v>1.2843899999999998E-3</v>
      </c>
      <c r="O93" s="117">
        <f>(IF(L93&gt;M25,N26,IF(L93&gt;M24,N25,IF(L93&gt;M23,N24,IF(L93&gt;M22,N23,IF(L93&gt;M21,N22,IF(L93&gt;M20,N21,IF(L93&gt;M19,N20,IF(L93&gt;M18,N19,IF(L93&gt;M17,N18,IF(L93&gt;M16,N17,N16))))))))))*H93)/F93</f>
        <v>3.558E-3</v>
      </c>
      <c r="P93" s="117">
        <f t="shared" si="125"/>
        <v>4.8423900000000002E-3</v>
      </c>
      <c r="Q93" s="261">
        <f t="shared" si="120"/>
        <v>2.5766827529284556E-2</v>
      </c>
      <c r="R93" s="3" t="s">
        <v>35</v>
      </c>
      <c r="S93" s="97">
        <f t="shared" ref="S93:Z93" si="131">1.16*S92</f>
        <v>0</v>
      </c>
      <c r="T93" s="97">
        <f t="shared" si="131"/>
        <v>0</v>
      </c>
      <c r="U93" s="97">
        <f t="shared" si="131"/>
        <v>0</v>
      </c>
      <c r="V93" s="97">
        <f t="shared" si="131"/>
        <v>0</v>
      </c>
      <c r="W93" s="97">
        <f t="shared" si="131"/>
        <v>0</v>
      </c>
      <c r="X93" s="97">
        <f t="shared" si="131"/>
        <v>0</v>
      </c>
      <c r="Y93" s="97">
        <f t="shared" si="131"/>
        <v>0</v>
      </c>
      <c r="Z93" s="97">
        <f t="shared" si="131"/>
        <v>115999.99999999999</v>
      </c>
      <c r="AA93" s="97">
        <f t="shared" ref="AA93:AH93" si="132">1.16*AA92</f>
        <v>0</v>
      </c>
      <c r="AB93" s="97">
        <f t="shared" si="132"/>
        <v>115999.99999999999</v>
      </c>
      <c r="AC93" s="97">
        <f t="shared" si="132"/>
        <v>0</v>
      </c>
      <c r="AD93" s="97">
        <f t="shared" si="132"/>
        <v>115999.99999999999</v>
      </c>
      <c r="AE93" s="97">
        <f t="shared" si="132"/>
        <v>0</v>
      </c>
      <c r="AF93" s="97">
        <f t="shared" si="132"/>
        <v>0</v>
      </c>
      <c r="AG93" s="97">
        <f t="shared" si="132"/>
        <v>399040</v>
      </c>
      <c r="AH93" s="97" t="e">
        <f t="shared" si="132"/>
        <v>#REF!</v>
      </c>
      <c r="AI93" s="97" t="e">
        <f t="shared" ref="AI93" si="133">1.16*AI92</f>
        <v>#REF!</v>
      </c>
      <c r="AK93" s="118">
        <f t="shared" ref="AK93:AK98" si="134">AL92+1</f>
        <v>45226</v>
      </c>
      <c r="AL93" s="119">
        <v>46605</v>
      </c>
      <c r="AM93" s="120">
        <v>0.27500000000000002</v>
      </c>
      <c r="AN93" s="122">
        <v>2.7300000000000001E-2</v>
      </c>
      <c r="AO93" s="122">
        <v>0.1656</v>
      </c>
      <c r="AP93" s="13">
        <f t="shared" si="129"/>
        <v>1379</v>
      </c>
      <c r="AQ93" s="13">
        <f t="shared" si="130"/>
        <v>379.22500000000002</v>
      </c>
      <c r="AR93" s="97">
        <f t="shared" ref="AR93:AR98" si="135">AR92+AQ93</f>
        <v>11911.6</v>
      </c>
      <c r="AS93" s="114">
        <f>AR92+AM93*(S98-AK93)</f>
        <v>12625.225</v>
      </c>
      <c r="AT93" s="114">
        <f>AR92+AM93*(T98-AK93)</f>
        <v>60692.475000000006</v>
      </c>
      <c r="AU93" s="115">
        <f>AR92+AM93*(U98-AK93)</f>
        <v>11493.809000000001</v>
      </c>
      <c r="AV93" s="115">
        <f>AR92+AM93*(V98-AK93)</f>
        <v>62959.091</v>
      </c>
      <c r="AW93" s="115">
        <f>AR92+AM93*(W98-AK93)</f>
        <v>13192.825000000001</v>
      </c>
      <c r="AX93" s="43">
        <f>AR92+AM93*(X98-AK93)</f>
        <v>61260.075000000004</v>
      </c>
      <c r="AY93" s="115">
        <f>AR92+AM93*(Y98-AK93)</f>
        <v>61827.675000000003</v>
      </c>
      <c r="AZ93" s="115">
        <f>AR92+AM93*(Z98-AK93)</f>
        <v>-904.77500000000146</v>
      </c>
      <c r="BA93" s="115">
        <f>AR92+AM93*(AA98-AK93)</f>
        <v>10164.609290834604</v>
      </c>
      <c r="BB93" s="43">
        <f>AR92+AM93*(AB98-AK93)</f>
        <v>-904.77500000000146</v>
      </c>
      <c r="BC93" s="43">
        <f>AR92+AM93*(AC98-AK93)</f>
        <v>10095.225</v>
      </c>
      <c r="BD93" s="43">
        <f>AR92+AM93*(AD98-AK93)</f>
        <v>-510.82825311089437</v>
      </c>
      <c r="BE93" s="43">
        <f>AR92+AM93*(AE98-AK93)</f>
        <v>10095.225</v>
      </c>
      <c r="BF93" s="43" t="e">
        <f>AR92+AM93*(AF98-AK93)</f>
        <v>#VALUE!</v>
      </c>
      <c r="BG93" s="43">
        <f>AR92+AM93*(AG98-AK93)</f>
        <v>60692.475000000006</v>
      </c>
      <c r="BH93" s="43">
        <f>AR92+AM93*(AH98-AK93)</f>
        <v>-904.77500000000146</v>
      </c>
      <c r="BI93" s="43">
        <f>AR92+AM93*(AI98-AK93)</f>
        <v>10095.225</v>
      </c>
      <c r="BJ93" s="115">
        <f>S92*AO93</f>
        <v>0</v>
      </c>
      <c r="BK93" s="115">
        <f>T92*AO93</f>
        <v>0</v>
      </c>
      <c r="BL93" s="115">
        <f>U92*AO93</f>
        <v>0</v>
      </c>
      <c r="BM93" s="115">
        <f>V92*AO93</f>
        <v>0</v>
      </c>
      <c r="BN93" s="115">
        <f>W92*AO93</f>
        <v>0</v>
      </c>
      <c r="BO93" s="115">
        <f>X92*AO93</f>
        <v>0</v>
      </c>
      <c r="BP93" s="43">
        <f>Y92*AO93</f>
        <v>0</v>
      </c>
      <c r="BQ93" s="43">
        <f>Z92*AO93</f>
        <v>16560</v>
      </c>
      <c r="BR93" s="43">
        <f>AA92*AO93</f>
        <v>0</v>
      </c>
      <c r="BS93" s="43">
        <f>AB92*AO93</f>
        <v>16560</v>
      </c>
      <c r="BT93" s="43">
        <f>AC92*AO93</f>
        <v>0</v>
      </c>
      <c r="BU93" s="43">
        <f>AD92*AO93</f>
        <v>16560</v>
      </c>
      <c r="BV93" s="43">
        <f>AE92*AO93</f>
        <v>0</v>
      </c>
      <c r="BW93" s="43">
        <f>AF92*AO93</f>
        <v>0</v>
      </c>
      <c r="BX93" s="43">
        <f>AG92*AO93</f>
        <v>56966.400000000001</v>
      </c>
      <c r="BY93" s="43" t="e">
        <f>AH92*AO93</f>
        <v>#REF!</v>
      </c>
      <c r="BZ93" s="43" t="e">
        <f>AI92*AO93</f>
        <v>#REF!</v>
      </c>
      <c r="CA93" s="44">
        <f>AN93*S94</f>
        <v>0</v>
      </c>
      <c r="CB93" s="44">
        <f>AN93*T94</f>
        <v>0</v>
      </c>
      <c r="CC93" s="44">
        <f>AN93*U94</f>
        <v>188.76311999999999</v>
      </c>
      <c r="CD93" s="44">
        <f>AN93*V94</f>
        <v>0</v>
      </c>
      <c r="CE93" s="44">
        <f>AN93*W94</f>
        <v>94.381559999999993</v>
      </c>
      <c r="CF93" s="44">
        <f>AN93*X94</f>
        <v>94.381559999999993</v>
      </c>
      <c r="CG93" s="44">
        <f>AN93*Y94</f>
        <v>188.76311999999999</v>
      </c>
      <c r="CH93" s="44">
        <f>AN93*Z94</f>
        <v>0</v>
      </c>
      <c r="CI93" s="44">
        <f>AN93*AA94</f>
        <v>272.38995621557814</v>
      </c>
      <c r="CJ93" s="44">
        <f>AN93*AB94</f>
        <v>0</v>
      </c>
      <c r="CK93" s="44">
        <f>AN93*AC94</f>
        <v>0</v>
      </c>
      <c r="CL93" s="44">
        <f>AN93*AD94</f>
        <v>79.00242975622092</v>
      </c>
      <c r="CM93" s="44">
        <f>AN93*AE94</f>
        <v>0</v>
      </c>
      <c r="CN93" s="44">
        <f>AN93*AF94</f>
        <v>0</v>
      </c>
      <c r="CO93" s="44">
        <f>AN93*AG94</f>
        <v>0</v>
      </c>
      <c r="CP93" s="44">
        <f>AN93*AH94</f>
        <v>0</v>
      </c>
      <c r="CQ93" s="44">
        <f>AN93*AI94</f>
        <v>1.1756000991621409E-3</v>
      </c>
      <c r="CR93" t="s">
        <v>36</v>
      </c>
      <c r="CS93">
        <v>16065</v>
      </c>
      <c r="CT93" s="117">
        <v>0.1075</v>
      </c>
      <c r="CU93">
        <f>CT93*CS93</f>
        <v>1726.9875</v>
      </c>
      <c r="CV93" s="16">
        <f>IF(S99&gt;CS93,CU93,CU93-(CS93-S99)*CT93)</f>
        <v>1726.9875</v>
      </c>
      <c r="CW93" s="16">
        <f>IF(T99&gt;CS93,CU93,CU93-(CS93-T99)*CT93)</f>
        <v>1726.9875</v>
      </c>
      <c r="CX93" s="16">
        <f>IF(U99&gt;CS93,CU93,CU93-(CS93-U99)*CT93)</f>
        <v>1726.9875</v>
      </c>
      <c r="CY93" s="16">
        <f>IF(V99&gt;CS93,CU93,CU93-(CS93-V99)*CT93)</f>
        <v>1726.9875</v>
      </c>
      <c r="CZ93" s="16">
        <f>IF(W99&gt;CS93,CU93,CU93-(CS93-W99)*CT93)</f>
        <v>1726.9875</v>
      </c>
      <c r="DA93" s="16">
        <f>IF(X99&gt;CS93,CU93,CU93-(CS93-X99)*CT93)</f>
        <v>1726.9875</v>
      </c>
      <c r="DB93" s="16">
        <f>IF(Y99&gt;CS93,CU93,CU93-(CS93-Y99)*CT93)</f>
        <v>1726.9875</v>
      </c>
      <c r="DC93" s="16">
        <f>IF(Z99&gt;CS93,CU93,CU93-(CS93-Z99)*CT93)</f>
        <v>1726.9875</v>
      </c>
      <c r="DD93" s="16">
        <f>IF(AA99&gt;CS93,CU93,CU93-(CS93-AA99)*CT93)</f>
        <v>1726.9875</v>
      </c>
      <c r="DE93" s="219">
        <f>IF(AB99&gt;CS93,CU93,CU93-(CS93-AB99)*CT93)</f>
        <v>1726.9875</v>
      </c>
      <c r="DF93" s="219">
        <f>IF(AC99&gt;CS93,CU93,CU93-(CS93-AC99)*CT93)</f>
        <v>1726.9875</v>
      </c>
      <c r="DG93" s="219">
        <f>IF(AD99&gt;CS93,CU93,CU93-(CS93-AD99)*CT93)</f>
        <v>1726.9875</v>
      </c>
      <c r="DH93" s="219">
        <f>IF(AE99&gt;CS93,CU93,CU93-(CS93-AE99)*CT93)</f>
        <v>1726.9875</v>
      </c>
      <c r="DI93" s="219" t="e">
        <f>IF(AF99&gt;CS93,CU93,CU93-(CS93-AF99)*CT93)</f>
        <v>#VALUE!</v>
      </c>
      <c r="DJ93" s="219">
        <f>IF(AG99&gt;CS93,CU93,CU93-(CS93-AG99)*CT93)</f>
        <v>1726.9875</v>
      </c>
      <c r="DK93" s="219" t="e">
        <f>IF(AH99&gt;CS93,CU93,CU93-(CS93-AH99)*CT93)</f>
        <v>#REF!</v>
      </c>
      <c r="DL93" s="219" t="e">
        <f>IF(AI99&gt;CS93,CU93,CU93-(CS93-AI99)*CT93)</f>
        <v>#REF!</v>
      </c>
    </row>
    <row r="94" spans="1:116" ht="15.75" hidden="1" x14ac:dyDescent="0.25">
      <c r="B94" s="140"/>
      <c r="C94" s="140"/>
      <c r="D94" s="140">
        <f>D93-D93*H20</f>
        <v>310948.75409919996</v>
      </c>
      <c r="E94">
        <v>6</v>
      </c>
      <c r="F94" s="140">
        <f>F93+F93*(G15+G16+G17-Q93-H20)</f>
        <v>408216.79032043664</v>
      </c>
      <c r="G94" s="140">
        <f>F94*G16</f>
        <v>8205.1574854407772</v>
      </c>
      <c r="H94" s="140">
        <f>F94*G17</f>
        <v>4898.6014838452402</v>
      </c>
      <c r="I94" s="140">
        <f>F94*G15</f>
        <v>20410.839516021835</v>
      </c>
      <c r="J94" s="140">
        <f>D94*G8</f>
        <v>15547.437704959999</v>
      </c>
      <c r="K94" s="117">
        <f>(G8*G6)/F94</f>
        <v>4.2134474641522146E-2</v>
      </c>
      <c r="L94" s="97">
        <f>(G94-C8-(G6*G7)+C7+H94)</f>
        <v>54061.518969286015</v>
      </c>
      <c r="M94" s="117">
        <f>IF(M87&lt;100,0,IF(L94&gt;M25,O26,IF(L94&gt;M24,O25,IF(L94&gt;M23,O24,IF(L94&gt;M22,O23,IF(L94&gt;M21,O22,IF(L94&gt;M20,O21,IF(L94&gt;M19,O20,IF(L94&gt;M18,O19,IF(L94&gt;M17,O18,IF(L94&gt;M16,O17,O16)))))))))))</f>
        <v>6.3899999999999998E-2</v>
      </c>
      <c r="N94" s="117">
        <f t="shared" si="124"/>
        <v>1.2843900000000003E-3</v>
      </c>
      <c r="O94" s="117">
        <f>(IF(L94&gt;M25,N26,IF(L94&gt;M24,N25,IF(L94&gt;M23,N24,IF(L94&gt;M22,N23,IF(L94&gt;M21,N22,IF(L94&gt;M20,N21,IF(L94&gt;M19,N20,IF(L94&gt;M18,N19,IF(L94&gt;M17,N18,IF(L94&gt;M16,N17,N16))))))))))*H94)/F94</f>
        <v>3.558E-3</v>
      </c>
      <c r="P94" s="117">
        <f t="shared" si="125"/>
        <v>4.8423900000000002E-3</v>
      </c>
      <c r="Q94" s="261">
        <f t="shared" si="120"/>
        <v>4.6976864641522148E-2</v>
      </c>
      <c r="R94" s="3" t="s">
        <v>38</v>
      </c>
      <c r="S94" s="97">
        <f t="shared" ref="S94:Z94" si="136">S77</f>
        <v>0</v>
      </c>
      <c r="T94" s="97">
        <f t="shared" si="136"/>
        <v>0</v>
      </c>
      <c r="U94" s="97">
        <f t="shared" si="136"/>
        <v>6914.4</v>
      </c>
      <c r="V94" s="97">
        <f t="shared" si="136"/>
        <v>0</v>
      </c>
      <c r="W94" s="97">
        <f t="shared" si="136"/>
        <v>3457.2</v>
      </c>
      <c r="X94" s="97">
        <f t="shared" si="136"/>
        <v>3457.2</v>
      </c>
      <c r="Y94" s="97">
        <f t="shared" si="136"/>
        <v>6914.4</v>
      </c>
      <c r="Z94" s="97">
        <f t="shared" si="136"/>
        <v>0</v>
      </c>
      <c r="AA94" s="97">
        <f t="shared" ref="AA94:AH94" si="137">AA77</f>
        <v>9977.6540738307012</v>
      </c>
      <c r="AB94" s="97">
        <f t="shared" si="137"/>
        <v>0</v>
      </c>
      <c r="AC94" s="97">
        <f t="shared" si="137"/>
        <v>0</v>
      </c>
      <c r="AD94" s="97">
        <f t="shared" si="137"/>
        <v>2893.8618958322681</v>
      </c>
      <c r="AE94" s="97">
        <f t="shared" si="137"/>
        <v>0</v>
      </c>
      <c r="AF94" s="97">
        <f t="shared" si="137"/>
        <v>0</v>
      </c>
      <c r="AG94" s="97">
        <f t="shared" si="137"/>
        <v>0</v>
      </c>
      <c r="AH94" s="97">
        <f t="shared" si="137"/>
        <v>0</v>
      </c>
      <c r="AI94" s="97">
        <f t="shared" ref="AI94" si="138">AI77</f>
        <v>4.3062274694583916E-2</v>
      </c>
      <c r="AK94" s="67">
        <f t="shared" si="134"/>
        <v>46606</v>
      </c>
      <c r="AL94" s="123">
        <v>93208</v>
      </c>
      <c r="AM94" s="111">
        <v>0.33</v>
      </c>
      <c r="AN94" s="113">
        <v>0.1032</v>
      </c>
      <c r="AO94" s="113">
        <v>0.22939999999999999</v>
      </c>
      <c r="AP94" s="13">
        <f t="shared" si="129"/>
        <v>46602</v>
      </c>
      <c r="AQ94" s="13">
        <f t="shared" si="130"/>
        <v>15378.66</v>
      </c>
      <c r="AR94" s="97">
        <f t="shared" si="135"/>
        <v>27290.260000000002</v>
      </c>
      <c r="AS94" s="114">
        <f>AR93+AM94*(S98-AK94)</f>
        <v>12767.62</v>
      </c>
      <c r="AT94" s="114">
        <f>AR93+AM94*(T98-AK94)</f>
        <v>70448.320000000007</v>
      </c>
      <c r="AU94" s="115">
        <f>AR93+AM94*(U98-AK94)</f>
        <v>11409.920800000002</v>
      </c>
      <c r="AV94" s="115">
        <f>AR93+AM94*(V98-AK94)</f>
        <v>73168.2592</v>
      </c>
      <c r="AW94" s="115">
        <f>AR93+AM94*(W98-AK94)</f>
        <v>13448.74</v>
      </c>
      <c r="AX94" s="43">
        <f>AS93+AM94*(X98-AK94)</f>
        <v>71843.065000000002</v>
      </c>
      <c r="AY94" s="115">
        <f>AR93+AM94*(Y98-AK94)</f>
        <v>71810.560000000012</v>
      </c>
      <c r="AZ94" s="115">
        <f>AR93+AM94*(Z98-AK94)</f>
        <v>-3468.380000000001</v>
      </c>
      <c r="BA94" s="115">
        <f>AR93+AM94*(AA98-AK94)</f>
        <v>9814.881149001525</v>
      </c>
      <c r="BB94" s="43">
        <f>AR93+AM94*(AB98-AK94)</f>
        <v>-3468.380000000001</v>
      </c>
      <c r="BC94" s="43">
        <f>AR93+AM94*(AC98-AK94)</f>
        <v>9731.6200000000008</v>
      </c>
      <c r="BD94" s="43">
        <f>AR93+AM94*(AD98-AK94)</f>
        <v>-2995.6439037330711</v>
      </c>
      <c r="BE94" s="43">
        <f>AR93+AM94*(AE98-AK94)</f>
        <v>9731.6200000000008</v>
      </c>
      <c r="BF94" s="43" t="e">
        <f>AR93+AM94*(AF98-AK94)</f>
        <v>#VALUE!</v>
      </c>
      <c r="BG94" s="43">
        <f>AR93+AM94*(AG98-AK94)</f>
        <v>70448.320000000007</v>
      </c>
      <c r="BH94" s="43">
        <f>AR93+AM94*(AH98-AK94)</f>
        <v>-3468.380000000001</v>
      </c>
      <c r="BI94" s="43">
        <f>AR93+AM94*(AI98-AK94)</f>
        <v>9731.6200000000008</v>
      </c>
      <c r="BJ94" s="115">
        <f>S92*AO94</f>
        <v>0</v>
      </c>
      <c r="BK94" s="147">
        <f>T92*AO94</f>
        <v>0</v>
      </c>
      <c r="BL94" s="115">
        <f>U92*AO94</f>
        <v>0</v>
      </c>
      <c r="BM94" s="115">
        <f>V92*AO94</f>
        <v>0</v>
      </c>
      <c r="BN94" s="115">
        <f>W92*AO94</f>
        <v>0</v>
      </c>
      <c r="BO94" s="115">
        <f>X92*AO94</f>
        <v>0</v>
      </c>
      <c r="BP94" s="43">
        <f>Y92*AO94</f>
        <v>0</v>
      </c>
      <c r="BQ94" s="43">
        <f>Z92*AO94</f>
        <v>22940</v>
      </c>
      <c r="BR94" s="43">
        <f>AA92*AO94</f>
        <v>0</v>
      </c>
      <c r="BS94" s="43">
        <f>AB92*AO94</f>
        <v>22940</v>
      </c>
      <c r="BT94" s="43">
        <f>AC92*AO94</f>
        <v>0</v>
      </c>
      <c r="BU94" s="43">
        <f>AD92*AO94</f>
        <v>22940</v>
      </c>
      <c r="BV94" s="43">
        <f>AE92*AO94</f>
        <v>0</v>
      </c>
      <c r="BW94" s="43">
        <f>AF92*AO94</f>
        <v>0</v>
      </c>
      <c r="BX94" s="43">
        <f>AG92*AO94</f>
        <v>78913.599999999991</v>
      </c>
      <c r="BY94" s="43" t="e">
        <f>AH92*AO94</f>
        <v>#REF!</v>
      </c>
      <c r="BZ94" s="43" t="e">
        <f>AI92*AO94</f>
        <v>#REF!</v>
      </c>
      <c r="CA94" s="44">
        <f>AN94*S94</f>
        <v>0</v>
      </c>
      <c r="CB94" s="44">
        <f>AN94*T94</f>
        <v>0</v>
      </c>
      <c r="CC94" s="44">
        <f>AN94*U94</f>
        <v>713.56607999999994</v>
      </c>
      <c r="CD94" s="44">
        <f>AN94*V94</f>
        <v>0</v>
      </c>
      <c r="CE94" s="44">
        <f>AN94*W94</f>
        <v>356.78303999999997</v>
      </c>
      <c r="CF94" s="44">
        <f>AN94*X94</f>
        <v>356.78303999999997</v>
      </c>
      <c r="CG94" s="44">
        <f>AN94*Y94</f>
        <v>713.56607999999994</v>
      </c>
      <c r="CH94" s="44">
        <f>AN94*Z94</f>
        <v>0</v>
      </c>
      <c r="CI94" s="44">
        <f>AN94*AA94</f>
        <v>1029.6939004193284</v>
      </c>
      <c r="CJ94" s="44">
        <f>AN94*AB94</f>
        <v>0</v>
      </c>
      <c r="CK94" s="44">
        <f>AN94*AC94</f>
        <v>0</v>
      </c>
      <c r="CL94" s="44">
        <f>AN94*AD94</f>
        <v>298.64654764989007</v>
      </c>
      <c r="CM94" s="44">
        <f>AN94*AE94</f>
        <v>0</v>
      </c>
      <c r="CN94" s="44">
        <f>AN94*AF94</f>
        <v>0</v>
      </c>
      <c r="CO94" s="44">
        <f>AN94*AG94</f>
        <v>0</v>
      </c>
      <c r="CP94" s="44">
        <f>AN94*AH94</f>
        <v>0</v>
      </c>
      <c r="CQ94" s="44">
        <f>AN94*AI94</f>
        <v>4.4440267484810603E-3</v>
      </c>
    </row>
    <row r="95" spans="1:116" ht="15.75" hidden="1" x14ac:dyDescent="0.25">
      <c r="B95" s="140"/>
      <c r="C95" s="140"/>
      <c r="D95" s="140">
        <f>D94-D94*H20</f>
        <v>304729.77901721594</v>
      </c>
      <c r="E95">
        <v>7</v>
      </c>
      <c r="F95" s="140">
        <f>F94+F94*(G15+G16+G17-Q94-H20)</f>
        <v>414390.30809605599</v>
      </c>
      <c r="G95" s="140">
        <f>F95*G16</f>
        <v>8329.2451927307247</v>
      </c>
      <c r="H95" s="140">
        <f>F95*G17</f>
        <v>4972.6836971526718</v>
      </c>
      <c r="I95" s="140">
        <f>F95*G15</f>
        <v>20719.515404802802</v>
      </c>
      <c r="J95" s="140">
        <f>D95*G8</f>
        <v>15236.488950860798</v>
      </c>
      <c r="K95" s="117">
        <f>(G8*G6)/F95</f>
        <v>4.1506762257608174E-2</v>
      </c>
      <c r="L95" s="97">
        <f>(G95-C8-(G6*G7)+C7+H95)</f>
        <v>54259.688889883393</v>
      </c>
      <c r="M95" s="117">
        <f>IF(M87&lt;100,0,IF(L95&gt;M25,O26,IF(L95&gt;M24,O25,IF(L95&gt;M23,O24,IF(L95&gt;M22,O23,IF(L95&gt;M21,O22,IF(L95&gt;M20,O21,IF(L95&gt;M19,O20,IF(L95&gt;M18,O19,IF(L95&gt;M17,O18,IF(L95&gt;M16,O17,O16)))))))))))</f>
        <v>6.3899999999999998E-2</v>
      </c>
      <c r="N95" s="117">
        <f t="shared" si="124"/>
        <v>1.2843899999999998E-3</v>
      </c>
      <c r="O95" s="117">
        <f>(IF(L95&gt;M25,N26,IF(L95&gt;M24,N25,IF(L95&gt;M23,N24,IF(L95&gt;M22,N23,IF(L95&gt;M21,N22,IF(L95&gt;M20,N21,IF(L95&gt;M19,N20,IF(L95&gt;M18,N19,IF(L95&gt;M17,N18,IF(L95&gt;M16,N17,N16))))))))))*H95)/F95</f>
        <v>3.558E-3</v>
      </c>
      <c r="P95" s="117">
        <f t="shared" si="125"/>
        <v>4.8423900000000002E-3</v>
      </c>
      <c r="Q95" s="261">
        <f t="shared" si="120"/>
        <v>4.6349152257608169E-2</v>
      </c>
      <c r="R95" s="3" t="s">
        <v>39</v>
      </c>
      <c r="S95" s="97">
        <f t="shared" ref="S95:Z95" si="139">S94*1.38</f>
        <v>0</v>
      </c>
      <c r="T95" s="97">
        <f t="shared" si="139"/>
        <v>0</v>
      </c>
      <c r="U95" s="97">
        <f t="shared" si="139"/>
        <v>9541.8719999999994</v>
      </c>
      <c r="V95" s="97">
        <f t="shared" si="139"/>
        <v>0</v>
      </c>
      <c r="W95" s="97">
        <f t="shared" si="139"/>
        <v>4770.9359999999997</v>
      </c>
      <c r="X95" s="97">
        <f t="shared" si="139"/>
        <v>4770.9359999999997</v>
      </c>
      <c r="Y95" s="97">
        <f t="shared" si="139"/>
        <v>9541.8719999999994</v>
      </c>
      <c r="Z95" s="97">
        <f t="shared" si="139"/>
        <v>0</v>
      </c>
      <c r="AA95" s="97">
        <f t="shared" ref="AA95:AH95" si="140">AA94*1.38</f>
        <v>13769.162621886366</v>
      </c>
      <c r="AB95" s="97">
        <f t="shared" si="140"/>
        <v>0</v>
      </c>
      <c r="AC95" s="97">
        <f t="shared" si="140"/>
        <v>0</v>
      </c>
      <c r="AD95" s="97">
        <f t="shared" si="140"/>
        <v>3993.5294162485297</v>
      </c>
      <c r="AE95" s="97">
        <f t="shared" si="140"/>
        <v>0</v>
      </c>
      <c r="AF95" s="97">
        <f t="shared" si="140"/>
        <v>0</v>
      </c>
      <c r="AG95" s="97">
        <f t="shared" si="140"/>
        <v>0</v>
      </c>
      <c r="AH95" s="97">
        <f t="shared" si="140"/>
        <v>0</v>
      </c>
      <c r="AI95" s="97">
        <f t="shared" ref="AI95" si="141">AI94*1.38</f>
        <v>5.9425939078525801E-2</v>
      </c>
      <c r="AK95" s="118">
        <f t="shared" si="134"/>
        <v>93209</v>
      </c>
      <c r="AL95" s="119">
        <v>129214</v>
      </c>
      <c r="AM95" s="120">
        <v>0.38500000000000001</v>
      </c>
      <c r="AN95" s="122">
        <v>0.17910000000000001</v>
      </c>
      <c r="AO95" s="122">
        <v>0.29320000000000002</v>
      </c>
      <c r="AP95" s="13">
        <f t="shared" si="129"/>
        <v>36005</v>
      </c>
      <c r="AQ95" s="13">
        <f t="shared" si="130"/>
        <v>13861.925000000001</v>
      </c>
      <c r="AR95" s="97">
        <f t="shared" si="135"/>
        <v>41152.185000000005</v>
      </c>
      <c r="AS95" s="114">
        <f>AR94+AM95*(S98-AK95)</f>
        <v>10346.795000000002</v>
      </c>
      <c r="AT95" s="114">
        <f>AR94+AM95*(T98-AK95)</f>
        <v>77640.945000000007</v>
      </c>
      <c r="AU95" s="115">
        <f>AR94+AM95*(U98-AK95)</f>
        <v>8762.8126000000011</v>
      </c>
      <c r="AV95" s="115">
        <f>AR94+AM95*(V98-AK95)</f>
        <v>80814.207399999999</v>
      </c>
      <c r="AW95" s="115">
        <f>AR94+AM95*(W98-AK95)</f>
        <v>11141.435000000001</v>
      </c>
      <c r="AX95" s="43">
        <f>AR94+AM95*(X98-AK95)</f>
        <v>78435.585000000006</v>
      </c>
      <c r="AY95" s="115">
        <f>AR94+AM95*(Y98-AK95)</f>
        <v>79230.225000000006</v>
      </c>
      <c r="AZ95" s="115">
        <f>AR94+AM95*(Z98-AK95)</f>
        <v>-8595.2050000000017</v>
      </c>
      <c r="BA95" s="115">
        <f>AR94+AM95*(AA98-AK95)</f>
        <v>6901.933007168449</v>
      </c>
      <c r="BB95" s="43">
        <f>AR94+AM95*(AB98-AK95)</f>
        <v>-8595.2050000000017</v>
      </c>
      <c r="BC95" s="43">
        <f>AR94+AM95*(AC98-AK95)</f>
        <v>6804.7950000000019</v>
      </c>
      <c r="BD95" s="43">
        <f>AR94+AM95*(AD98-AK95)</f>
        <v>-8043.6795543552507</v>
      </c>
      <c r="BE95" s="43">
        <f>AR94+AM95*(AE98-AK95)</f>
        <v>6804.7950000000019</v>
      </c>
      <c r="BF95" s="43" t="e">
        <f>AR94+AM95*(AF98-AK95)</f>
        <v>#VALUE!</v>
      </c>
      <c r="BG95" s="43">
        <f>AR94+AM95*(AG98-AK95)</f>
        <v>77640.945000000007</v>
      </c>
      <c r="BH95" s="43">
        <f>AR94+AM95*(AH98-AK95)</f>
        <v>-8595.2050000000017</v>
      </c>
      <c r="BI95" s="43">
        <f>AR94+AM95*(AI98-AK95)</f>
        <v>6804.7950000000019</v>
      </c>
      <c r="BJ95" s="115">
        <f>S92*AO95</f>
        <v>0</v>
      </c>
      <c r="BK95" s="147">
        <f>T92*AO95</f>
        <v>0</v>
      </c>
      <c r="BL95" s="115">
        <f>U92*AO95</f>
        <v>0</v>
      </c>
      <c r="BM95" s="115">
        <f>V92*AO95</f>
        <v>0</v>
      </c>
      <c r="BN95" s="115">
        <f>W92*AO95</f>
        <v>0</v>
      </c>
      <c r="BO95" s="115">
        <f>X92*AP95</f>
        <v>0</v>
      </c>
      <c r="BP95" s="43">
        <f>Y92*AO95</f>
        <v>0</v>
      </c>
      <c r="BQ95" s="43">
        <f>Z92*AO95</f>
        <v>29320</v>
      </c>
      <c r="BR95" s="43">
        <f>AA92*AO95</f>
        <v>0</v>
      </c>
      <c r="BS95" s="43">
        <f>AB92*AO95</f>
        <v>29320</v>
      </c>
      <c r="BT95" s="43">
        <f>AC92*AO95</f>
        <v>0</v>
      </c>
      <c r="BU95" s="43">
        <f>AD92*AO95</f>
        <v>29320</v>
      </c>
      <c r="BV95" s="43">
        <f>AE92*AO95</f>
        <v>0</v>
      </c>
      <c r="BW95" s="43">
        <f>AF92*AO95</f>
        <v>0</v>
      </c>
      <c r="BX95" s="43">
        <f>AG92*AO95</f>
        <v>100860.8</v>
      </c>
      <c r="BY95" s="43" t="e">
        <f>AH92*AO95</f>
        <v>#REF!</v>
      </c>
      <c r="BZ95" s="43" t="e">
        <f>AI92*AO95</f>
        <v>#REF!</v>
      </c>
      <c r="CA95" s="44">
        <f>AN95*S94</f>
        <v>0</v>
      </c>
      <c r="CB95" s="44">
        <f>AN95*T94</f>
        <v>0</v>
      </c>
      <c r="CC95" s="44">
        <f>AN95*U94</f>
        <v>1238.36904</v>
      </c>
      <c r="CD95" s="44">
        <f>AN95*V94</f>
        <v>0</v>
      </c>
      <c r="CE95" s="44">
        <f>AN95*W94</f>
        <v>619.18452000000002</v>
      </c>
      <c r="CF95" s="44">
        <f>AN95*X94</f>
        <v>619.18452000000002</v>
      </c>
      <c r="CG95" s="44">
        <f>AN95*Y94</f>
        <v>1238.36904</v>
      </c>
      <c r="CH95" s="44">
        <f>AN95*Z94</f>
        <v>0</v>
      </c>
      <c r="CI95" s="44">
        <f>AN95*AA94</f>
        <v>1786.9978446230787</v>
      </c>
      <c r="CJ95" s="44">
        <f>AN95*AB94</f>
        <v>0</v>
      </c>
      <c r="CK95" s="44">
        <f>AN95*AC94</f>
        <v>0</v>
      </c>
      <c r="CL95" s="44">
        <f>AN95*AD94</f>
        <v>518.29066554355927</v>
      </c>
      <c r="CM95" s="44">
        <f>AN95*AE94</f>
        <v>0</v>
      </c>
      <c r="CN95" s="44">
        <f>AN95*AF94</f>
        <v>0</v>
      </c>
      <c r="CO95" s="44">
        <f>AN95*AG94</f>
        <v>0</v>
      </c>
      <c r="CP95" s="44">
        <f>AN95*AH94</f>
        <v>0</v>
      </c>
      <c r="CQ95" s="44">
        <f>AN95*AI94</f>
        <v>7.7124533977999798E-3</v>
      </c>
    </row>
    <row r="96" spans="1:116" ht="15.75" hidden="1" x14ac:dyDescent="0.25">
      <c r="B96" s="140"/>
      <c r="C96" s="140"/>
      <c r="D96" s="140">
        <f>D95-D95*H20</f>
        <v>298635.18343687162</v>
      </c>
      <c r="E96">
        <v>8</v>
      </c>
      <c r="F96" s="140">
        <f>F95+F95*(G15+G16+G17-Q95-H20)</f>
        <v>420917.30674479983</v>
      </c>
      <c r="G96" s="140">
        <f>F96*G16</f>
        <v>8460.4378655704768</v>
      </c>
      <c r="H96" s="140">
        <f>F96*G17</f>
        <v>5051.0076809375978</v>
      </c>
      <c r="I96" s="140">
        <f>F96*G15</f>
        <v>21045.865337239993</v>
      </c>
      <c r="J96" s="140">
        <f>D96*G8</f>
        <v>14931.759171843581</v>
      </c>
      <c r="K96" s="117">
        <f>(G8*G6)/F96</f>
        <v>4.0863133267238824E-2</v>
      </c>
      <c r="L96" s="97">
        <f>(G96-C8-(G6*G7)+C7+H96)</f>
        <v>54469.20554650807</v>
      </c>
      <c r="M96" s="117">
        <f>IF(M87&lt;100,0,IF(L96&gt;M25,O26,IF(L96&gt;M24,O25,IF(L96&gt;M23,O24,IF(L96&gt;M22,O23,IF(L96&gt;M21,O22,IF(L96&gt;M20,O21,IF(L96&gt;M19,O20,IF(L96&gt;M18,O19,IF(L96&gt;M17,O18,IF(L96&gt;M16,O17,O16)))))))))))</f>
        <v>6.3899999999999998E-2</v>
      </c>
      <c r="N96" s="117">
        <f t="shared" si="124"/>
        <v>1.2843899999999998E-3</v>
      </c>
      <c r="O96" s="117">
        <f>(IF(L96&gt;M25,N26,IF(L96&gt;M24,N25,IF(L96&gt;M23,N24,IF(L96&gt;M22,N23,IF(L96&gt;M21,N22,IF(L96&gt;M20,N21,IF(L96&gt;M19,N20,IF(L96&gt;M18,N19,IF(L96&gt;M17,N18,IF(L96&gt;M16,N17,N16))))))))))*H96)/F96</f>
        <v>3.5579999999999995E-3</v>
      </c>
      <c r="P96" s="117">
        <f t="shared" si="125"/>
        <v>4.8423899999999994E-3</v>
      </c>
      <c r="Q96" s="261">
        <f t="shared" si="120"/>
        <v>4.5705523267238819E-2</v>
      </c>
      <c r="R96" s="3" t="s">
        <v>40</v>
      </c>
      <c r="S96" s="97">
        <f t="shared" ref="S96:Z97" si="142">S79</f>
        <v>0</v>
      </c>
      <c r="T96" s="97">
        <f t="shared" si="142"/>
        <v>0</v>
      </c>
      <c r="U96" s="97">
        <f t="shared" si="142"/>
        <v>0</v>
      </c>
      <c r="V96" s="97">
        <f t="shared" si="142"/>
        <v>0</v>
      </c>
      <c r="W96" s="97">
        <f t="shared" si="142"/>
        <v>0</v>
      </c>
      <c r="X96" s="97">
        <f t="shared" si="142"/>
        <v>0</v>
      </c>
      <c r="Y96" s="97">
        <f t="shared" si="142"/>
        <v>0</v>
      </c>
      <c r="Z96" s="97">
        <f t="shared" si="142"/>
        <v>0</v>
      </c>
      <c r="AA96" s="97">
        <f t="shared" ref="AA96:AH97" si="143">AA79</f>
        <v>504.6130242516665</v>
      </c>
      <c r="AB96" s="97">
        <f t="shared" si="143"/>
        <v>0</v>
      </c>
      <c r="AC96" s="97">
        <f t="shared" si="143"/>
        <v>0</v>
      </c>
      <c r="AD96" s="97">
        <f t="shared" si="143"/>
        <v>2865.0672501025942</v>
      </c>
      <c r="AE96" s="97">
        <f t="shared" si="143"/>
        <v>0</v>
      </c>
      <c r="AF96" s="97" t="str">
        <f t="shared" si="143"/>
        <v>Total Drag</v>
      </c>
      <c r="AG96" s="97">
        <f t="shared" si="143"/>
        <v>0</v>
      </c>
      <c r="AH96" s="97">
        <f t="shared" si="143"/>
        <v>0</v>
      </c>
      <c r="AI96" s="97">
        <f t="shared" ref="AI96" si="144">AI79</f>
        <v>0</v>
      </c>
      <c r="AK96" s="67">
        <f t="shared" si="134"/>
        <v>129215</v>
      </c>
      <c r="AL96" s="123">
        <v>144489</v>
      </c>
      <c r="AM96" s="111">
        <v>0.40500000000000003</v>
      </c>
      <c r="AN96" s="113">
        <v>0.20669999999999999</v>
      </c>
      <c r="AO96" s="113">
        <v>0.31640000000000001</v>
      </c>
      <c r="AP96" s="13">
        <f t="shared" si="129"/>
        <v>15274</v>
      </c>
      <c r="AQ96" s="13">
        <f t="shared" si="130"/>
        <v>6185.97</v>
      </c>
      <c r="AR96" s="97">
        <f t="shared" si="135"/>
        <v>47338.155000000006</v>
      </c>
      <c r="AS96" s="114">
        <f>AR95+AM96*(S98-AK96)</f>
        <v>8746.1100000000042</v>
      </c>
      <c r="AT96" s="114">
        <f>AR95+AM96*(T98-AK96)</f>
        <v>79536.06</v>
      </c>
      <c r="AU96" s="115">
        <f>AR95+AM96*(U98-AK96)</f>
        <v>7079.8428000000058</v>
      </c>
      <c r="AV96" s="115">
        <f>AR95+AM96*(V98-AK96)</f>
        <v>82874.167199999996</v>
      </c>
      <c r="AW96" s="115">
        <f>AR95+AM96*(W98-AK96)</f>
        <v>9582.0300000000025</v>
      </c>
      <c r="AX96" s="43">
        <f>AR95+AM96*(X98-AK96)</f>
        <v>80371.98000000001</v>
      </c>
      <c r="AY96" s="115">
        <f>AR95+AM96*(Y98-AK96)</f>
        <v>81207.900000000009</v>
      </c>
      <c r="AZ96" s="115">
        <f>AR95+AM96*(Z98-AK96)</f>
        <v>-11179.89</v>
      </c>
      <c r="BA96" s="115">
        <f>AR95+AM96*(AA98-AK96)</f>
        <v>5122.294137410965</v>
      </c>
      <c r="BB96" s="43">
        <f>AR95+AM96*(AB98-AK96)</f>
        <v>-11179.89</v>
      </c>
      <c r="BC96" s="43">
        <f>AR95+AM96*(AC98-AK96)</f>
        <v>5020.1100000000006</v>
      </c>
      <c r="BD96" s="43">
        <f>AR95+AM96*(AD98-AK96)</f>
        <v>-10599.713881854223</v>
      </c>
      <c r="BE96" s="43">
        <f>AR95+AM96*(AE98-AK96)</f>
        <v>5020.1100000000006</v>
      </c>
      <c r="BF96" s="43" t="e">
        <f>AR95+AM96*(AF98-AK96)</f>
        <v>#VALUE!</v>
      </c>
      <c r="BG96" s="43">
        <f>AR95+AM96*(AG98-AK96)</f>
        <v>79536.06</v>
      </c>
      <c r="BH96" s="43">
        <f>AR95+AM96*(AH98-AK96)</f>
        <v>-11179.89</v>
      </c>
      <c r="BI96" s="43">
        <f>AR95+AM96*(AI98-AK96)</f>
        <v>5020.1100000000006</v>
      </c>
      <c r="BJ96" s="115">
        <f>S92*AO96</f>
        <v>0</v>
      </c>
      <c r="BK96" s="115">
        <f>T92*AO96</f>
        <v>0</v>
      </c>
      <c r="BL96" s="115">
        <f>U92*AO96</f>
        <v>0</v>
      </c>
      <c r="BM96" s="115">
        <f>V92*AO96</f>
        <v>0</v>
      </c>
      <c r="BN96" s="115">
        <f>W92*AO96</f>
        <v>0</v>
      </c>
      <c r="BO96" s="115">
        <f>X92*AO96</f>
        <v>0</v>
      </c>
      <c r="BP96" s="43">
        <f>Y92*AO96</f>
        <v>0</v>
      </c>
      <c r="BQ96" s="43">
        <f>Z92*AO96</f>
        <v>31640</v>
      </c>
      <c r="BR96" s="43">
        <f>AA92*AO96</f>
        <v>0</v>
      </c>
      <c r="BS96" s="43">
        <f>AB92*AO96</f>
        <v>31640</v>
      </c>
      <c r="BT96" s="43">
        <f>AC92*AO96</f>
        <v>0</v>
      </c>
      <c r="BU96" s="43">
        <f>AD92*AO96</f>
        <v>31640</v>
      </c>
      <c r="BV96" s="43">
        <f>AE92*AO96</f>
        <v>0</v>
      </c>
      <c r="BW96" s="43">
        <f>AF92*AO96</f>
        <v>0</v>
      </c>
      <c r="BX96" s="43">
        <f>AG92*AO96</f>
        <v>108841.60000000001</v>
      </c>
      <c r="BY96" s="43" t="e">
        <f>AH92*AO96</f>
        <v>#REF!</v>
      </c>
      <c r="BZ96" s="43" t="e">
        <f>AI92*AO96</f>
        <v>#REF!</v>
      </c>
      <c r="CA96" s="44">
        <f>AN96*S94</f>
        <v>0</v>
      </c>
      <c r="CB96" s="44">
        <f>AN96*T94</f>
        <v>0</v>
      </c>
      <c r="CC96" s="44">
        <f>AN96*U94</f>
        <v>1429.2064799999998</v>
      </c>
      <c r="CD96" s="44">
        <f>AN96*V94</f>
        <v>0</v>
      </c>
      <c r="CE96" s="44">
        <f>AN96*W94</f>
        <v>714.60323999999991</v>
      </c>
      <c r="CF96" s="44">
        <f>AN96*X94</f>
        <v>714.60323999999991</v>
      </c>
      <c r="CG96" s="44">
        <f>AN96*Y94</f>
        <v>1429.2064799999998</v>
      </c>
      <c r="CH96" s="44">
        <f>AN96*Z94</f>
        <v>0</v>
      </c>
      <c r="CI96" s="44">
        <f>AN96*AA94</f>
        <v>2062.381097060806</v>
      </c>
      <c r="CJ96" s="44">
        <f>AN96*AB94</f>
        <v>0</v>
      </c>
      <c r="CK96" s="44">
        <f>AN96*AC94</f>
        <v>0</v>
      </c>
      <c r="CL96" s="44">
        <f>AN96*AD94</f>
        <v>598.1612538685298</v>
      </c>
      <c r="CM96" s="44">
        <f>AN96*AE94</f>
        <v>0</v>
      </c>
      <c r="CN96" s="44">
        <f>AN96*AF94</f>
        <v>0</v>
      </c>
      <c r="CO96" s="44">
        <f>AN96*AG94</f>
        <v>0</v>
      </c>
      <c r="CP96" s="44">
        <f>AN96*AH94</f>
        <v>0</v>
      </c>
      <c r="CQ96" s="44">
        <f>AN96*AI94</f>
        <v>8.9009721793704959E-3</v>
      </c>
    </row>
    <row r="97" spans="2:116" ht="15.75" hidden="1" x14ac:dyDescent="0.25">
      <c r="B97" s="140"/>
      <c r="C97" s="140"/>
      <c r="D97" s="140">
        <f>D96-D96*H20</f>
        <v>292662.47976813419</v>
      </c>
      <c r="E97">
        <v>9</v>
      </c>
      <c r="F97" s="140">
        <f>F96+F96*(G15+G16+G17-Q96-H20)</f>
        <v>427818.02573664393</v>
      </c>
      <c r="G97" s="140">
        <f>F97*G16</f>
        <v>8599.1423173065432</v>
      </c>
      <c r="H97" s="140">
        <f>F97*G17</f>
        <v>5133.8163088397278</v>
      </c>
      <c r="I97" s="140">
        <f>F97*G15</f>
        <v>21390.901286832199</v>
      </c>
      <c r="J97" s="140">
        <f>D97*G8</f>
        <v>14633.123988406711</v>
      </c>
      <c r="K97" s="117">
        <f>(G8*G6)/F97</f>
        <v>4.0204009567815571E-2</v>
      </c>
      <c r="L97" s="97">
        <f>(G97-C8-(G6*G7)+C7+H97)</f>
        <v>54690.71862614627</v>
      </c>
      <c r="M97" s="117">
        <f>IF(M87&lt;100,0,IF(L97&gt;M25,O26,IF(L97&gt;M24,O25,IF(L97&gt;M23,O24,IF(L97&gt;M22,O23,IF(L97&gt;M21,O22,IF(L97&gt;M20,O21,IF(L97&gt;M19,O20,IF(L97&gt;M18,O19,IF(L97&gt;M17,O18,IF(L97&gt;M16,O17,O16)))))))))))</f>
        <v>6.3899999999999998E-2</v>
      </c>
      <c r="N97" s="117">
        <f t="shared" si="124"/>
        <v>1.2843900000000001E-3</v>
      </c>
      <c r="O97" s="117">
        <f>(IF(L97&gt;M25,N26,IF(L97&gt;M24,N25,IF(L97&gt;M23,N24,IF(L97&gt;M22,N23,IF(L97&gt;M21,N22,IF(L97&gt;M20,N21,IF(L97&gt;M19,N20,IF(L97&gt;M18,N19,IF(L97&gt;M17,N18,IF(L97&gt;M16,N17,N16))))))))))*H97)/F97</f>
        <v>3.5580000000000004E-3</v>
      </c>
      <c r="P97" s="117">
        <f t="shared" si="125"/>
        <v>4.8423900000000002E-3</v>
      </c>
      <c r="Q97" s="261">
        <f t="shared" si="120"/>
        <v>4.5046399567815573E-2</v>
      </c>
      <c r="R97" s="3" t="s">
        <v>41</v>
      </c>
      <c r="S97" s="97">
        <f t="shared" si="142"/>
        <v>0</v>
      </c>
      <c r="T97" s="97">
        <f t="shared" si="142"/>
        <v>0</v>
      </c>
      <c r="U97" s="97">
        <f t="shared" si="142"/>
        <v>0</v>
      </c>
      <c r="V97" s="97">
        <f t="shared" si="142"/>
        <v>0</v>
      </c>
      <c r="W97" s="97">
        <f t="shared" si="142"/>
        <v>0</v>
      </c>
      <c r="X97" s="97">
        <f t="shared" si="142"/>
        <v>0</v>
      </c>
      <c r="Y97" s="97">
        <f t="shared" si="142"/>
        <v>0</v>
      </c>
      <c r="Z97" s="97">
        <f t="shared" si="142"/>
        <v>0</v>
      </c>
      <c r="AA97" s="97">
        <f t="shared" si="143"/>
        <v>252.30651212583325</v>
      </c>
      <c r="AB97" s="97">
        <f t="shared" si="143"/>
        <v>0</v>
      </c>
      <c r="AC97" s="97">
        <f t="shared" si="143"/>
        <v>0</v>
      </c>
      <c r="AD97" s="97">
        <f t="shared" si="143"/>
        <v>1432.5336250512971</v>
      </c>
      <c r="AE97" s="97">
        <f t="shared" si="143"/>
        <v>0</v>
      </c>
      <c r="AF97" s="97" t="e">
        <f t="shared" si="143"/>
        <v>#VALUE!</v>
      </c>
      <c r="AG97" s="97">
        <f t="shared" si="143"/>
        <v>0</v>
      </c>
      <c r="AH97" s="97">
        <f t="shared" si="143"/>
        <v>0</v>
      </c>
      <c r="AI97" s="97">
        <f t="shared" ref="AI97" si="145">AI80</f>
        <v>0</v>
      </c>
      <c r="AJ97" s="16" t="s">
        <v>67</v>
      </c>
      <c r="AK97" s="118">
        <f t="shared" si="134"/>
        <v>144490</v>
      </c>
      <c r="AL97" s="119">
        <v>205842</v>
      </c>
      <c r="AM97" s="120">
        <v>0.435</v>
      </c>
      <c r="AN97" s="122">
        <v>0.24809999999999999</v>
      </c>
      <c r="AO97" s="122">
        <v>0.35120000000000001</v>
      </c>
      <c r="AP97" s="13">
        <f t="shared" si="129"/>
        <v>61352</v>
      </c>
      <c r="AQ97" s="13">
        <f t="shared" si="130"/>
        <v>26688.12</v>
      </c>
      <c r="AR97" s="97">
        <f t="shared" si="135"/>
        <v>74026.275000000009</v>
      </c>
      <c r="AS97" s="114">
        <f>AR96+AM97*(S98-AK97)</f>
        <v>5887.0050000000047</v>
      </c>
      <c r="AT97" s="114">
        <f>AR96+AM97*(T98-AK97)</f>
        <v>81920.654999999999</v>
      </c>
      <c r="AU97" s="115">
        <f>AR96+AM97*(U98-AK97)</f>
        <v>4097.3106000000116</v>
      </c>
      <c r="AV97" s="115">
        <f>AR96+AM97*(V98-AK97)</f>
        <v>85506.029399999999</v>
      </c>
      <c r="AW97" s="115">
        <f>AR96+AM97*(W98-AK97)</f>
        <v>6784.8450000000084</v>
      </c>
      <c r="AX97" s="43">
        <f>AR96+AM97*(X98-AK97)</f>
        <v>82818.494999999995</v>
      </c>
      <c r="AY97" s="115">
        <f>AR96+AM97*(Y98-AK97)</f>
        <v>83716.335000000006</v>
      </c>
      <c r="AZ97" s="115">
        <f>AR96+AM97*(Z98-AK97)</f>
        <v>-15514.994999999995</v>
      </c>
      <c r="BA97" s="115">
        <f>AR96+AM97*(AA98-AK97)</f>
        <v>1994.7583327747416</v>
      </c>
      <c r="BB97" s="43">
        <f>AR96+AM97*(AB98-AK97)</f>
        <v>-15514.994999999995</v>
      </c>
      <c r="BC97" s="43">
        <f>AR96+AM97*(AC98-AK97)</f>
        <v>1885.0050000000047</v>
      </c>
      <c r="BD97" s="43">
        <f>AR96+AM97*(AD98-AK97)</f>
        <v>-14891.84287310268</v>
      </c>
      <c r="BE97" s="43">
        <f>AR96+AM97*(AE98-AK97)</f>
        <v>1885.0050000000047</v>
      </c>
      <c r="BF97" s="43" t="e">
        <f>AR96+AM97*(AF98-AK97)</f>
        <v>#VALUE!</v>
      </c>
      <c r="BG97" s="43">
        <f>AR96+AM97*(AG98-AK97)</f>
        <v>81920.654999999999</v>
      </c>
      <c r="BH97" s="43">
        <f>AR96+AM97*(AH98-AK97)</f>
        <v>-15514.994999999995</v>
      </c>
      <c r="BI97" s="43">
        <f>AR96+AM97*(AI98-AK97)</f>
        <v>1885.0050000000047</v>
      </c>
      <c r="BJ97" s="115">
        <f>S92*AO97</f>
        <v>0</v>
      </c>
      <c r="BK97" s="147">
        <f>T92*AO97</f>
        <v>0</v>
      </c>
      <c r="BL97" s="115">
        <f>U92*AO97</f>
        <v>0</v>
      </c>
      <c r="BM97" s="115">
        <f>V92*AO97</f>
        <v>0</v>
      </c>
      <c r="BN97" s="115">
        <f>W92*AO97</f>
        <v>0</v>
      </c>
      <c r="BO97" s="115">
        <f>X92*AO97</f>
        <v>0</v>
      </c>
      <c r="BP97" s="43">
        <f>Y92*AO97</f>
        <v>0</v>
      </c>
      <c r="BQ97" s="43">
        <f>Z92*AO97</f>
        <v>35120</v>
      </c>
      <c r="BR97" s="43">
        <f>AA92*AO97</f>
        <v>0</v>
      </c>
      <c r="BS97" s="43">
        <f>AB92*AO97</f>
        <v>35120</v>
      </c>
      <c r="BT97" s="43">
        <f>AC92*AO97</f>
        <v>0</v>
      </c>
      <c r="BU97" s="43">
        <f>AD92*AO97</f>
        <v>35120</v>
      </c>
      <c r="BV97" s="43">
        <f>AE92*AO97</f>
        <v>0</v>
      </c>
      <c r="BW97" s="43">
        <f>AF92*AO97</f>
        <v>0</v>
      </c>
      <c r="BX97" s="43">
        <f>AG92*AO97</f>
        <v>120812.8</v>
      </c>
      <c r="BY97" s="43" t="e">
        <f>AH92*AO97</f>
        <v>#REF!</v>
      </c>
      <c r="BZ97" s="43" t="e">
        <f>AI92*AO97</f>
        <v>#REF!</v>
      </c>
      <c r="CA97" s="44">
        <f>AN97*S94</f>
        <v>0</v>
      </c>
      <c r="CB97" s="44">
        <f>AN97*T94</f>
        <v>0</v>
      </c>
      <c r="CC97" s="44">
        <f>AN97*U94</f>
        <v>1715.4626399999997</v>
      </c>
      <c r="CD97" s="44">
        <f>AN97*V94</f>
        <v>0</v>
      </c>
      <c r="CE97" s="44">
        <f>AN97*W94</f>
        <v>857.73131999999987</v>
      </c>
      <c r="CF97" s="44">
        <f>AN97*X94</f>
        <v>857.73131999999987</v>
      </c>
      <c r="CG97" s="44">
        <f>AN97*Y94</f>
        <v>1715.4626399999997</v>
      </c>
      <c r="CH97" s="44">
        <f>AN97*Z94</f>
        <v>0</v>
      </c>
      <c r="CI97" s="44">
        <f>AN97*AA94</f>
        <v>2475.455975717397</v>
      </c>
      <c r="CJ97" s="44">
        <f>AN97*AB94</f>
        <v>0</v>
      </c>
      <c r="CK97" s="44">
        <f>AN97*AC94</f>
        <v>0</v>
      </c>
      <c r="CL97" s="44">
        <f>AN97*AD94</f>
        <v>717.96713635598564</v>
      </c>
      <c r="CM97" s="44">
        <f>AN97*AE94</f>
        <v>0</v>
      </c>
      <c r="CN97" s="44">
        <f>AN97*AF94</f>
        <v>0</v>
      </c>
      <c r="CO97" s="44">
        <f>AN97*AG94</f>
        <v>0</v>
      </c>
      <c r="CP97" s="44">
        <f>AN97*AH94</f>
        <v>0</v>
      </c>
      <c r="CQ97" s="44">
        <f>AN97*AI94</f>
        <v>1.0683750351726268E-2</v>
      </c>
    </row>
    <row r="98" spans="2:116" ht="15.75" hidden="1" x14ac:dyDescent="0.25">
      <c r="B98" s="140"/>
      <c r="C98" s="140"/>
      <c r="D98" s="140">
        <f>D97-D97*H20</f>
        <v>286809.23017277149</v>
      </c>
      <c r="E98">
        <v>10</v>
      </c>
      <c r="F98" s="140">
        <f>F97+F97*(G15+G16+G17-Q97-H20)</f>
        <v>435113.86340524262</v>
      </c>
      <c r="G98" s="140">
        <f>F98*G16</f>
        <v>8745.7886544453759</v>
      </c>
      <c r="H98" s="140">
        <f>F98*G17</f>
        <v>5221.3663608629113</v>
      </c>
      <c r="I98" s="140">
        <f>F98*G15</f>
        <v>21755.693170262133</v>
      </c>
      <c r="J98" s="140">
        <f>D98*G8</f>
        <v>14340.461508638575</v>
      </c>
      <c r="K98" s="117">
        <f>(G8*G6)/F98</f>
        <v>3.9529882742395654E-2</v>
      </c>
      <c r="L98" s="97">
        <f>(G98-C8-(G6*G7)+C7+H98)</f>
        <v>54924.915015308288</v>
      </c>
      <c r="M98" s="117">
        <f>IF(M87&lt;100,0,IF(L98&gt;M25,O26,IF(L98&gt;M24,O25,IF(L98&gt;M23,O24,IF(L98&gt;M22,O23,IF(L98&gt;M21,O22,IF(L98&gt;M20,O21,IF(L98&gt;M19,O20,IF(L98&gt;M18,O19,IF(L98&gt;M17,O18,IF(L98&gt;M16,O17,O16)))))))))))</f>
        <v>6.3899999999999998E-2</v>
      </c>
      <c r="N98" s="117">
        <f t="shared" si="124"/>
        <v>1.2843899999999998E-3</v>
      </c>
      <c r="O98" s="117">
        <f>(IF(L98&gt;M25,N26,IF(L98&gt;M24,N25,IF(L98&gt;M23,N24,IF(L98&gt;M22,N23,IF(L98&gt;M21,N22,IF(L98&gt;M20,N21,IF(L98&gt;M19,N20,IF(L98&gt;M18,N19,IF(L98&gt;M17,N18,IF(L98&gt;M16,N17,N16))))))))))*H98)/F98</f>
        <v>3.5579999999999995E-3</v>
      </c>
      <c r="P98" s="117">
        <f t="shared" si="125"/>
        <v>4.8423899999999994E-3</v>
      </c>
      <c r="Q98" s="261">
        <f t="shared" si="120"/>
        <v>4.4372272742395656E-2</v>
      </c>
      <c r="R98" s="14" t="s">
        <v>43</v>
      </c>
      <c r="S98" s="130">
        <f t="shared" ref="S98:Z98" si="146">S89-S90+S97</f>
        <v>49200</v>
      </c>
      <c r="T98" s="130">
        <f t="shared" si="146"/>
        <v>223990</v>
      </c>
      <c r="U98" s="130">
        <f t="shared" si="146"/>
        <v>45085.760000000002</v>
      </c>
      <c r="V98" s="130">
        <f t="shared" si="146"/>
        <v>232232.24</v>
      </c>
      <c r="W98" s="130">
        <f t="shared" si="146"/>
        <v>51264</v>
      </c>
      <c r="X98" s="130">
        <f t="shared" si="146"/>
        <v>226054</v>
      </c>
      <c r="Y98" s="130">
        <f t="shared" si="146"/>
        <v>228118</v>
      </c>
      <c r="Z98" s="130">
        <f t="shared" si="146"/>
        <v>0</v>
      </c>
      <c r="AA98" s="130">
        <f t="shared" ref="AA98:AH98" si="147">AA89-AA90+AA97</f>
        <v>40252.306512125833</v>
      </c>
      <c r="AB98" s="130">
        <f t="shared" si="147"/>
        <v>0</v>
      </c>
      <c r="AC98" s="130">
        <f t="shared" si="147"/>
        <v>40000</v>
      </c>
      <c r="AD98" s="130">
        <f t="shared" si="147"/>
        <v>1432.5336250512971</v>
      </c>
      <c r="AE98" s="130">
        <f t="shared" si="147"/>
        <v>40000</v>
      </c>
      <c r="AF98" s="130" t="e">
        <f t="shared" si="147"/>
        <v>#VALUE!</v>
      </c>
      <c r="AG98" s="130">
        <f t="shared" si="147"/>
        <v>223990</v>
      </c>
      <c r="AH98" s="130">
        <f t="shared" si="147"/>
        <v>0</v>
      </c>
      <c r="AI98" s="130">
        <f t="shared" ref="AI98" si="148">AI89-AI90+AI97</f>
        <v>40000</v>
      </c>
      <c r="AJ98">
        <f>IF(S98&lt;AL92,AM92,IF(S98&lt;AL93,AM93,IF(S98&lt;AL94,AM94,IF(S98&lt;AL95,AM95,IF(S98&lt;AL96,AM96,IF(S98&lt;AL97,AM97,AM98))))))</f>
        <v>0.33</v>
      </c>
      <c r="AK98" s="67">
        <f t="shared" si="134"/>
        <v>205843</v>
      </c>
      <c r="AL98" s="123">
        <v>205843</v>
      </c>
      <c r="AM98" s="111">
        <v>0.47499999999999998</v>
      </c>
      <c r="AN98" s="113">
        <v>0.30330000000000001</v>
      </c>
      <c r="AO98" s="113">
        <v>0.39760000000000001</v>
      </c>
      <c r="AP98" s="13">
        <f>S99-AK98</f>
        <v>-156643</v>
      </c>
      <c r="AQ98" s="13">
        <f t="shared" si="130"/>
        <v>-74405.425000000003</v>
      </c>
      <c r="AR98" s="97">
        <f t="shared" si="135"/>
        <v>-379.14999999999418</v>
      </c>
      <c r="AS98" s="114">
        <f>AR97+AM98*(S98-AK98)</f>
        <v>-379.14999999999418</v>
      </c>
      <c r="AT98" s="114">
        <f>AR97+AM98*(T98-AK98)</f>
        <v>82646.100000000006</v>
      </c>
      <c r="AU98" s="115">
        <f>AR97+AM98*(U98-AK98)</f>
        <v>-2333.4139999999898</v>
      </c>
      <c r="AV98" s="115">
        <f>AR97+AM98*(V98-AK98)</f>
        <v>86561.164000000004</v>
      </c>
      <c r="AW98" s="115">
        <f>AR97+AM98*(W98-AK98)</f>
        <v>601.25000000001455</v>
      </c>
      <c r="AX98" s="43">
        <f>AR97+AM98*(X98-AK98)</f>
        <v>83626.500000000015</v>
      </c>
      <c r="AY98" s="115">
        <f>AR97+AM98*(Y98-AK98)</f>
        <v>84606.900000000009</v>
      </c>
      <c r="AZ98" s="115">
        <f>AR97+AM98*(Z98-AK98)</f>
        <v>-23749.14999999998</v>
      </c>
      <c r="BA98" s="115">
        <f>AR97+AM98*(AA98-AK98)</f>
        <v>-4629.3044067402225</v>
      </c>
      <c r="BB98" s="43">
        <f>AR97+AM98*(AB98-AK98)</f>
        <v>-23749.14999999998</v>
      </c>
      <c r="BC98" s="43">
        <f>AR97+AM98*(AC98-AK98)</f>
        <v>-4749.1499999999942</v>
      </c>
      <c r="BD98" s="43">
        <f>AR97+AM98*(AD98-AK98)</f>
        <v>-23068.696528100627</v>
      </c>
      <c r="BE98" s="43">
        <f>AR97+AM98*(AE98-AK98)</f>
        <v>-4749.1499999999942</v>
      </c>
      <c r="BF98" s="43" t="e">
        <f>AR97+AM98*(AF98-AK98)</f>
        <v>#VALUE!</v>
      </c>
      <c r="BG98" s="43">
        <f>AR97+AM98*(AG98-AK98)</f>
        <v>82646.100000000006</v>
      </c>
      <c r="BH98" s="43">
        <f>AR97+AM98*(AH98-AK98)</f>
        <v>-23749.14999999998</v>
      </c>
      <c r="BI98" s="43">
        <f>AR97+AM98*(AI98-AK98)</f>
        <v>-4749.1499999999942</v>
      </c>
      <c r="BJ98" s="115">
        <f>S92*AO98</f>
        <v>0</v>
      </c>
      <c r="BK98" s="147">
        <f>T92*AO98</f>
        <v>0</v>
      </c>
      <c r="BL98" s="115">
        <f>U92*AO98</f>
        <v>0</v>
      </c>
      <c r="BM98" s="115">
        <f>V92*AO98</f>
        <v>0</v>
      </c>
      <c r="BN98" s="115">
        <f>W92*AO98</f>
        <v>0</v>
      </c>
      <c r="BO98" s="115">
        <f>X92*AO98</f>
        <v>0</v>
      </c>
      <c r="BP98" s="43">
        <f>Y92*AO98</f>
        <v>0</v>
      </c>
      <c r="BQ98" s="43">
        <f>Z92*AO98</f>
        <v>39760</v>
      </c>
      <c r="BR98" s="43">
        <f>AA92*AO98</f>
        <v>0</v>
      </c>
      <c r="BS98" s="43">
        <f>AB92*AO98</f>
        <v>39760</v>
      </c>
      <c r="BT98" s="43">
        <f>AC92*AO98</f>
        <v>0</v>
      </c>
      <c r="BU98" s="43">
        <f>AD92*AO98</f>
        <v>39760</v>
      </c>
      <c r="BV98" s="43">
        <f>AE92*AO98</f>
        <v>0</v>
      </c>
      <c r="BW98" s="43">
        <f>AF92*AO98</f>
        <v>0</v>
      </c>
      <c r="BX98" s="43">
        <f>AG92*AO98</f>
        <v>136774.39999999999</v>
      </c>
      <c r="BY98" s="43" t="e">
        <f>AH92*AO98</f>
        <v>#REF!</v>
      </c>
      <c r="BZ98" s="43" t="e">
        <f>AI92*AO98</f>
        <v>#REF!</v>
      </c>
      <c r="CA98" s="44">
        <f>AN98*S94</f>
        <v>0</v>
      </c>
      <c r="CB98" s="44">
        <f>AN98*T94</f>
        <v>0</v>
      </c>
      <c r="CC98" s="44">
        <f>AN98*U94</f>
        <v>2097.1375199999998</v>
      </c>
      <c r="CD98" s="44">
        <f>AN98*V94</f>
        <v>0</v>
      </c>
      <c r="CE98" s="44">
        <f>AN98*W94</f>
        <v>1048.5687599999999</v>
      </c>
      <c r="CF98" s="44">
        <f>AN98*X94</f>
        <v>1048.5687599999999</v>
      </c>
      <c r="CG98" s="44">
        <f>AN98*Y94</f>
        <v>2097.1375199999998</v>
      </c>
      <c r="CH98" s="44">
        <f>AN98*Z94</f>
        <v>0</v>
      </c>
      <c r="CI98" s="44">
        <f>AN98*AA94</f>
        <v>3026.2224805928518</v>
      </c>
      <c r="CJ98" s="44">
        <f>AN98*AB94</f>
        <v>0</v>
      </c>
      <c r="CK98" s="44">
        <f>AN98*AC94</f>
        <v>0</v>
      </c>
      <c r="CL98" s="44">
        <f>AN98*AD94</f>
        <v>877.70831300592693</v>
      </c>
      <c r="CM98" s="44">
        <f>AN98*AE94</f>
        <v>0</v>
      </c>
      <c r="CN98" s="44">
        <f>AN98*AF94</f>
        <v>0</v>
      </c>
      <c r="CO98" s="44">
        <f>AN98*AG94</f>
        <v>0</v>
      </c>
      <c r="CP98" s="44">
        <f>AN98*AH94</f>
        <v>0</v>
      </c>
      <c r="CQ98" s="44">
        <f>AN98*AI94</f>
        <v>1.3060787914867302E-2</v>
      </c>
    </row>
    <row r="99" spans="2:116" ht="15.75" hidden="1" x14ac:dyDescent="0.25">
      <c r="B99" s="140"/>
      <c r="C99" s="140"/>
      <c r="D99" s="140">
        <f>D98-D98*H20</f>
        <v>281073.04556931608</v>
      </c>
      <c r="E99">
        <v>11</v>
      </c>
      <c r="F99" s="140">
        <f>F98+F98*(G15+G16+G17-Q98-H20)</f>
        <v>442827.44330169325</v>
      </c>
      <c r="G99" s="140">
        <f>F99*G16</f>
        <v>8900.8316103640336</v>
      </c>
      <c r="H99" s="140">
        <f>F99*G17</f>
        <v>5313.9293196203189</v>
      </c>
      <c r="I99" s="140">
        <f>F99*G15</f>
        <v>22141.372165084664</v>
      </c>
      <c r="J99" s="140">
        <f>D99*G9</f>
        <v>16864.382734158964</v>
      </c>
      <c r="K99" s="117">
        <f>(G9*G6)/F99</f>
        <v>4.6609577414871747E-2</v>
      </c>
      <c r="L99" s="97">
        <f>(G99-C8-(G6*G7)+C7+H99)</f>
        <v>55172.520929984355</v>
      </c>
      <c r="M99" s="117">
        <f>IF(M87&lt;100,0,IF(L99&gt;M25,O26,IF(L99&gt;M24,O25,IF(L99&gt;M23,O24,IF(L99&gt;M22,O23,IF(L99&gt;M21,O22,IF(L99&gt;M20,O21,IF(L99&gt;M19,O20,IF(L99&gt;M18,O19,IF(L99&gt;M17,O18,IF(L99&gt;M16,O17,O16)))))))))))</f>
        <v>6.3899999999999998E-2</v>
      </c>
      <c r="N99" s="117">
        <f t="shared" si="124"/>
        <v>1.2843899999999998E-3</v>
      </c>
      <c r="O99" s="117">
        <f>(IF(L99&gt;M25,N26,IF(L99&gt;M24,N25,IF(L99&gt;M23,N24,IF(L99&gt;M22,N23,IF(L99&gt;M21,N22,IF(L99&gt;M20,N21,IF(L99&gt;M19,N20,IF(L99&gt;M18,N19,IF(L99&gt;M17,N18,IF(L99&gt;M16,N17,N16))))))))))*H99)/F99</f>
        <v>3.558E-3</v>
      </c>
      <c r="P99" s="117">
        <f t="shared" si="125"/>
        <v>4.8423900000000002E-3</v>
      </c>
      <c r="Q99" s="261">
        <f t="shared" si="120"/>
        <v>5.1451967414871742E-2</v>
      </c>
      <c r="R99" s="3" t="s">
        <v>45</v>
      </c>
      <c r="S99" s="97">
        <f t="shared" ref="S99:Z99" si="149">(S89-S90)+S93+S95+S97</f>
        <v>49200</v>
      </c>
      <c r="T99" s="135">
        <f t="shared" si="149"/>
        <v>223990</v>
      </c>
      <c r="U99" s="97">
        <f t="shared" si="149"/>
        <v>54627.631999999998</v>
      </c>
      <c r="V99" s="135">
        <f t="shared" si="149"/>
        <v>232232.24</v>
      </c>
      <c r="W99" s="97">
        <f t="shared" si="149"/>
        <v>56034.936000000002</v>
      </c>
      <c r="X99" s="135">
        <f t="shared" si="149"/>
        <v>230824.93599999999</v>
      </c>
      <c r="Y99" s="135">
        <f t="shared" si="149"/>
        <v>237659.872</v>
      </c>
      <c r="Z99" s="135">
        <f t="shared" si="149"/>
        <v>115999.99999999999</v>
      </c>
      <c r="AA99" s="135">
        <f t="shared" ref="AA99:AH99" si="150">(AA89-AA90)+AA93+AA95+AA97</f>
        <v>54021.469134012201</v>
      </c>
      <c r="AB99" s="135">
        <f t="shared" si="150"/>
        <v>115999.99999999999</v>
      </c>
      <c r="AC99" s="135">
        <f t="shared" si="150"/>
        <v>40000</v>
      </c>
      <c r="AD99" s="135">
        <f t="shared" si="150"/>
        <v>121426.06304129981</v>
      </c>
      <c r="AE99" s="135">
        <f t="shared" si="150"/>
        <v>40000</v>
      </c>
      <c r="AF99" s="135" t="e">
        <f t="shared" si="150"/>
        <v>#VALUE!</v>
      </c>
      <c r="AG99" s="135">
        <f t="shared" si="150"/>
        <v>623030</v>
      </c>
      <c r="AH99" s="135" t="e">
        <f t="shared" si="150"/>
        <v>#REF!</v>
      </c>
      <c r="AI99" s="135" t="e">
        <f t="shared" ref="AI99" si="151">(AI89-AI90)+AI93+AI95+AI97</f>
        <v>#REF!</v>
      </c>
      <c r="AJ99">
        <f>AJ98*0.5</f>
        <v>0.16500000000000001</v>
      </c>
      <c r="AL99" s="123">
        <v>205843</v>
      </c>
      <c r="AM99" s="111">
        <v>0.47499999999999998</v>
      </c>
      <c r="AN99" s="113">
        <v>0.30330000000000001</v>
      </c>
      <c r="AO99" s="113">
        <v>0.39760000000000001</v>
      </c>
      <c r="AP99" s="13"/>
      <c r="AQ99" s="13"/>
      <c r="AR99" s="97"/>
      <c r="AS99" s="114"/>
      <c r="AT99" s="114"/>
      <c r="AU99" s="147">
        <f>AR98+AM99*(U98-AK99)</f>
        <v>21036.586000000007</v>
      </c>
      <c r="AV99" s="147">
        <f>AR98+AM99*(V98-AK99)</f>
        <v>109931.16399999999</v>
      </c>
      <c r="AW99" s="115">
        <f>AR98+AM99*(W98-AK99)</f>
        <v>23971.250000000004</v>
      </c>
      <c r="AX99" s="43">
        <f>AR98+AM99*(X98-AK99)</f>
        <v>106996.5</v>
      </c>
      <c r="AY99" s="115">
        <f>AR98+AM99*(Y98-AK99)</f>
        <v>107976.9</v>
      </c>
      <c r="AZ99" s="115">
        <f>AR98+AM99*(Z98-AK99)</f>
        <v>-379.14999999999418</v>
      </c>
      <c r="BA99" s="115">
        <f>AR98+AM99*(AA98-AK99)</f>
        <v>18740.695593259778</v>
      </c>
      <c r="BB99" s="43">
        <f>AR98+AM99*(AB98-AK99)</f>
        <v>-379.14999999999418</v>
      </c>
      <c r="BC99" s="43">
        <f>AR98+AM99*(AC98-AK99)</f>
        <v>18620.850000000006</v>
      </c>
      <c r="BD99" s="43">
        <f>AR98+AM99*(AD98-AK99)</f>
        <v>301.30347189937197</v>
      </c>
      <c r="BE99" s="43">
        <f>AR98+AM99*(AE98-AK99)</f>
        <v>18620.850000000006</v>
      </c>
      <c r="BF99" s="43" t="e">
        <f>AR98+AM99*(AF98-AK99)</f>
        <v>#VALUE!</v>
      </c>
      <c r="BG99" s="43">
        <f>AR98+AM99*(AG98-AK99)</f>
        <v>106016.1</v>
      </c>
      <c r="BH99" s="43">
        <f>AR98+AM99*(AH98-AK99)</f>
        <v>-379.14999999999418</v>
      </c>
      <c r="BI99" s="43">
        <f>AR98+AM99*(AI98-AK99)</f>
        <v>18620.850000000006</v>
      </c>
      <c r="BJ99" s="115">
        <f>S92*AO99</f>
        <v>0</v>
      </c>
      <c r="BK99" s="115">
        <f>T92*AO99</f>
        <v>0</v>
      </c>
      <c r="BL99" s="115">
        <f>U92*AO99</f>
        <v>0</v>
      </c>
      <c r="BM99" s="115">
        <f>V92*AO99</f>
        <v>0</v>
      </c>
      <c r="BN99" s="115">
        <f>W92*AO99</f>
        <v>0</v>
      </c>
      <c r="BO99" s="115">
        <f>X92*AO99</f>
        <v>0</v>
      </c>
      <c r="BP99" s="43">
        <f>Y92*AO99</f>
        <v>0</v>
      </c>
      <c r="BQ99" s="43">
        <f>Z92*AO99</f>
        <v>39760</v>
      </c>
      <c r="BR99" s="43">
        <f>AA92*AO99</f>
        <v>0</v>
      </c>
      <c r="BS99" s="43">
        <f>AB92*AO99</f>
        <v>39760</v>
      </c>
      <c r="BT99" s="43">
        <f>AC92*AO99</f>
        <v>0</v>
      </c>
      <c r="BU99" s="43">
        <f>AD92*AO99</f>
        <v>39760</v>
      </c>
      <c r="BV99" s="43">
        <f>AE92*AO99</f>
        <v>0</v>
      </c>
      <c r="BW99" s="43">
        <f>AF92*AO99</f>
        <v>0</v>
      </c>
      <c r="BX99" s="43">
        <f>AG92*AO99</f>
        <v>136774.39999999999</v>
      </c>
      <c r="BY99" s="43" t="e">
        <f>AH92*AO99</f>
        <v>#REF!</v>
      </c>
      <c r="BZ99" s="43" t="e">
        <f>AI92*AO99</f>
        <v>#REF!</v>
      </c>
      <c r="CA99" s="44">
        <f>AN99*S94</f>
        <v>0</v>
      </c>
      <c r="CB99" s="44">
        <f>AN99*T94</f>
        <v>0</v>
      </c>
      <c r="CC99" s="44">
        <f>AN99*U94</f>
        <v>2097.1375199999998</v>
      </c>
      <c r="CD99" s="44">
        <f>AN99*V94</f>
        <v>0</v>
      </c>
      <c r="CE99" s="44">
        <f>AN99*W94</f>
        <v>1048.5687599999999</v>
      </c>
      <c r="CF99" s="44">
        <f>AN99*X94</f>
        <v>1048.5687599999999</v>
      </c>
      <c r="CG99" s="44">
        <f>AN99*Y94</f>
        <v>2097.1375199999998</v>
      </c>
      <c r="CH99" s="44">
        <f>AN99*Z94</f>
        <v>0</v>
      </c>
      <c r="CI99" s="44">
        <f>AN99*AA94</f>
        <v>3026.2224805928518</v>
      </c>
      <c r="CJ99" s="44">
        <f>AN99*AB94</f>
        <v>0</v>
      </c>
      <c r="CK99" s="44">
        <f>AN99*AC94</f>
        <v>0</v>
      </c>
      <c r="CL99" s="44">
        <f>AN99*AD94</f>
        <v>877.70831300592693</v>
      </c>
      <c r="CM99" s="44">
        <f>AN99*AE94</f>
        <v>0</v>
      </c>
      <c r="CN99" s="44">
        <f>AN99*AF94</f>
        <v>0</v>
      </c>
      <c r="CO99" s="44">
        <f>AN99*AG94</f>
        <v>0</v>
      </c>
      <c r="CP99" s="44">
        <f>AN99*AH94</f>
        <v>0</v>
      </c>
      <c r="CQ99" s="44">
        <f>AN99*AI94</f>
        <v>1.3060787914867302E-2</v>
      </c>
    </row>
    <row r="100" spans="2:116" ht="15.75" hidden="1" x14ac:dyDescent="0.25">
      <c r="B100" s="140"/>
      <c r="C100" s="140"/>
      <c r="D100" s="140">
        <f>D99-D99*H20</f>
        <v>275451.58465792978</v>
      </c>
      <c r="E100">
        <v>12</v>
      </c>
      <c r="F100" s="140">
        <f>F99+F99*(G15+G16+G17-Q99-H20)</f>
        <v>447542.68434755871</v>
      </c>
      <c r="G100" s="140">
        <f>F100*G16</f>
        <v>8995.6079553859308</v>
      </c>
      <c r="H100" s="140">
        <f>F100*G17</f>
        <v>5370.5122121707045</v>
      </c>
      <c r="I100" s="140">
        <f>F100*G15</f>
        <v>22377.134217377938</v>
      </c>
      <c r="J100" s="140">
        <f>D100*G9</f>
        <v>16527.095079475785</v>
      </c>
      <c r="K100" s="117">
        <f>(G9*G6)/F100</f>
        <v>4.611850605957199E-2</v>
      </c>
      <c r="L100" s="97">
        <f>(G100-C8-(G6*G7)+C7+H100)</f>
        <v>55323.880167556636</v>
      </c>
      <c r="M100" s="117">
        <f>IF(M87&lt;100,0,IF(L100&gt;M25,O26,IF(L100&gt;M24,O25,IF(L100&gt;M23,O24,IF(L100&gt;M22,O23,IF(L100&gt;M21,O22,IF(L100&gt;M20,O21,IF(L100&gt;M19,O20,IF(L100&gt;M18,O19,IF(L100&gt;M17,O18,IF(L100&gt;M16,O17,O16)))))))))))</f>
        <v>6.3899999999999998E-2</v>
      </c>
      <c r="N100" s="117">
        <f t="shared" si="124"/>
        <v>1.2843900000000001E-3</v>
      </c>
      <c r="O100" s="117">
        <f>(IF(L100&gt;M25,N26,IF(L100&gt;M24,N25,IF(L100&gt;M23,N24,IF(L100&gt;M22,N23,IF(L100&gt;M21,N22,IF(L100&gt;M20,N21,IF(L100&gt;M19,N20,IF(L100&gt;M18,N19,IF(L100&gt;M17,N18,IF(L100&gt;M16,N17,N16))))))))))*H100)/F100</f>
        <v>3.5579999999999995E-3</v>
      </c>
      <c r="P100" s="117">
        <f t="shared" si="125"/>
        <v>4.8423899999999994E-3</v>
      </c>
      <c r="Q100" s="261">
        <f t="shared" si="120"/>
        <v>5.0960896059571992E-2</v>
      </c>
      <c r="R100" s="3" t="s">
        <v>46</v>
      </c>
      <c r="S100" s="135">
        <f>IF(S99&lt;AL92,AS92,IF(S99&lt;AL93,AS93,IF(S99&lt;AL94,AS94,IF(S99&lt;AL95,AS95,IF(S99&lt;AL96,AS96,IF(S99&lt;AL97,AS97,AS98))))))</f>
        <v>12767.62</v>
      </c>
      <c r="T100" s="135">
        <f>IF(T99&lt;AL92,AT92,IF(T99&lt;AL93,AT93,IF(T99&lt;AL94,AT94,IF(T99&lt;AL95,AT95,IF(T99&lt;AL96,AT96,IF(T99&lt;AL97,AT97,AT98))))))</f>
        <v>82646.100000000006</v>
      </c>
      <c r="U100" s="135">
        <f>IF(U99&lt;AL92,AU92,IF(U99&lt;AL93,AU93,IF(U99&lt;AL94,AU94,IF(U99&lt;AL95,AU95,IF(U99&lt;AL96,AU96,IF(U99&lt;AL97,AU97,AU98))))))</f>
        <v>11409.920800000002</v>
      </c>
      <c r="V100" s="135">
        <f>IF(V99&lt;AL92,AV92,IF(V99&lt;AL93,AV93,IF(V99&lt;AL94,AV94,IF(V99&lt;AL95,AV95,IF(V99&lt;AL96,AV96,IF(V99&lt;AL97,AV97,AV98))))))</f>
        <v>86561.164000000004</v>
      </c>
      <c r="W100" s="135">
        <f>IF(W99&lt;AL92,AW92,IF(W99&lt;AL93,AW93,IF(W99&lt;AL94,AW94,IF(W99&lt;AL95,AW95,IF(W99&lt;AL96,AW96,IF(W99&lt;AL97,AW97,AW98))))))</f>
        <v>13448.74</v>
      </c>
      <c r="X100" s="135">
        <f>IF(X99&lt;AL92,AX92,IF(X99&lt;AL93,AX93,IF(X99&lt;AL94,AX94,IF(X99&lt;AL95,AX95,IF(X99&lt;AL96,AX96,IF(X99&lt;AL97,AX97,AX98))))))</f>
        <v>83626.500000000015</v>
      </c>
      <c r="Y100" s="135">
        <f>IF(Y99&lt;AL92,AY92,IF(Y99&lt;AL93,AY93,IF(Y99&lt;AL94,AY94,IF(Y99&lt;AL95,AY95,IF(Y99&lt;AL96,AY96,IF(Y99&lt;AL97,AY97,AY98))))))</f>
        <v>84606.900000000009</v>
      </c>
      <c r="Z100" s="135">
        <f>IF(Z99&lt;AL92,AZ92,IF(Z99&lt;AL93,AZ93,IF(Z99&lt;AL94,AZ94,IF(Z99&lt;AL95,AZ95,IF(Z99&lt;AL96,AZ96,IF(Z99&lt;AL97,AZ97,AZ98))))))</f>
        <v>-8595.2050000000017</v>
      </c>
      <c r="AA100" s="135">
        <f>IF(AA99&lt;AL92,BA92,IF(AA99&lt;AL93,BA93,IF(AA99&lt;AL94,BA94,IF(AA99&lt;AL95,BA95,IF(AA99&lt;AL96,BA96,IF(AA99&lt;AL97,BA97,BA98))))))</f>
        <v>9814.881149001525</v>
      </c>
      <c r="AB100" s="135">
        <f>IF(AB99&lt;AL92,BB92,IF(AB99&lt;AL93,BB93,IF(AB99&lt;AL94,BB94,IF(AB99&lt;AL95,BB95,IF(AB99&lt;AL96,BB96,IF(AB99&lt;AL97,BB97,BB98))))))</f>
        <v>-8595.2050000000017</v>
      </c>
      <c r="AC100" s="135">
        <f>IF(AC99&lt;AL92,BC92,IF(AC99&lt;AL93,BC93,IF(AC99&lt;AL94,BC94,IF(AC99&lt;AL95,BC95,IF(AC99&lt;AL96,BC96,IF(AC99&lt;AL97,BC97,BC98))))))</f>
        <v>10200</v>
      </c>
      <c r="AD100" s="135">
        <f>IF(AD99&lt;AL92,BD92,IF(AD99&lt;AL93,BD93,IF(AD99&lt;AL94,BD94,IF(AD99&lt;AL95,BD95,IF(AD99&lt;AL96,BD96,IF(AD99&lt;AL97,BD97,BD98))))))</f>
        <v>-8043.6795543552507</v>
      </c>
      <c r="AE100" s="135">
        <f>IF(AE99&lt;AL92,BE92,IF(AE99&lt;AL93,BE93,IF(AE99&lt;AL94,BE94,IF(AE99&lt;AL95,BE95,IF(AE99&lt;AL96,BE96,IF(AE99&lt;AL97,BE97,BE98))))))</f>
        <v>10200</v>
      </c>
      <c r="AF100" s="135" t="e">
        <f>IF(AF99&lt;AL92,BF92,IF(AF99&lt;AL93,BF93,IF(AF99&lt;AL94,BF94,IF(AF99&lt;AL95,BF95,IF(AF99&lt;AL96,BF96,IF(AF99&lt;AL97,BF97,BF98))))))</f>
        <v>#VALUE!</v>
      </c>
      <c r="AG100" s="135">
        <f>IF(AG99&lt;AL92,BG92,IF(AG99&lt;AL93,BG93,IF(AG99&lt;AL94,BG94,IF(AG99&lt;AL95,BG95,IF(AG99&lt;AL96,BG96,IF(AG99&lt;AL97,BG97,BG98))))))</f>
        <v>82646.100000000006</v>
      </c>
      <c r="AH100" s="135" t="e">
        <f>IF(AH99&lt;AL92,BH92,IF(AH99&lt;AL93,BH93,IF(AH99&lt;AL94,BH94,IF(AH99&lt;AL95,BH95,IF(AH99&lt;AL96,BH96,IF(AH99&lt;AL97,BH97,BH98))))))</f>
        <v>#REF!</v>
      </c>
      <c r="AI100" s="135" t="e">
        <f>IF(AI99&lt;AL92,BI92,IF(AI99&lt;AL93,BI93,IF(AI99&lt;AL94,BI94,IF(AI99&lt;AL95,BI95,IF(AI99&lt;AL96,BI96,IF(AI99&lt;AL97,BI97,BI98))))))</f>
        <v>#REF!</v>
      </c>
      <c r="AJ100" s="8">
        <f>IF(S99&lt;AL92,AN92,IF(S99&lt;AL93,AN93,IF(S99&lt;AL94,AN94,IF(S99&lt;AL95,AN95,IF(S99&lt;AL96,AN96,IF(S99&lt;AL97,AN97,AN98))))))</f>
        <v>0.1032</v>
      </c>
      <c r="AL100" s="123">
        <v>205843</v>
      </c>
      <c r="AM100" s="111">
        <v>0.47499999999999998</v>
      </c>
      <c r="AN100" s="113">
        <v>0.30330000000000001</v>
      </c>
      <c r="AO100" s="113">
        <v>0.39760000000000001</v>
      </c>
      <c r="AP100" s="13"/>
      <c r="AQ100" s="13"/>
      <c r="AR100" s="97"/>
      <c r="AS100" s="114"/>
      <c r="AT100" s="114"/>
      <c r="AU100" s="115">
        <f>AR99+AM100*(U98-AK100)</f>
        <v>21415.736000000001</v>
      </c>
      <c r="AV100" s="115">
        <f>AR99+AM100*(V98-AK100)</f>
        <v>110310.31399999998</v>
      </c>
      <c r="AW100" s="115">
        <f>AR99+AM100*(W98-AK100)</f>
        <v>24350.399999999998</v>
      </c>
      <c r="AX100" s="43">
        <f>AR99+AM100*(X98-AK100)</f>
        <v>107375.65</v>
      </c>
      <c r="AY100" s="115">
        <f>AR99+AM100*(Y98-AK100)</f>
        <v>108356.04999999999</v>
      </c>
      <c r="AZ100" s="115">
        <f>AR99+AM100*(Z98-AK100)</f>
        <v>0</v>
      </c>
      <c r="BA100" s="115">
        <f>AR99+AM100*(AA98-AK100)</f>
        <v>19119.845593259772</v>
      </c>
      <c r="BB100" s="43">
        <f>AR99+AM100*(AB98-AK100)</f>
        <v>0</v>
      </c>
      <c r="BC100" s="43">
        <f>AR99+AM100*(AC98-AK100)</f>
        <v>19000</v>
      </c>
      <c r="BD100" s="43">
        <f>AR99+AM100*(AD98-AK100)</f>
        <v>680.45347189936615</v>
      </c>
      <c r="BE100" s="43">
        <f>AR99+AM100*(AE98-AK100)</f>
        <v>19000</v>
      </c>
      <c r="BF100" s="43" t="e">
        <f>AR99+AM100*(AF98-AK100)</f>
        <v>#VALUE!</v>
      </c>
      <c r="BG100" s="43">
        <f>AR99+AM100*(AG98-AK100)</f>
        <v>106395.25</v>
      </c>
      <c r="BH100" s="43">
        <f>AR99+AM100*(AH98-AK100)</f>
        <v>0</v>
      </c>
      <c r="BI100" s="43">
        <f>AR99+AM100*(AI98-AK100)</f>
        <v>19000</v>
      </c>
      <c r="BJ100" s="115">
        <f>S92*AO100</f>
        <v>0</v>
      </c>
      <c r="BK100" s="115">
        <f>T92*AO100</f>
        <v>0</v>
      </c>
      <c r="BL100" s="115">
        <f>U92*AO100</f>
        <v>0</v>
      </c>
      <c r="BM100" s="115">
        <f>V92*AO100</f>
        <v>0</v>
      </c>
      <c r="BN100" s="115">
        <f>W92*AO100</f>
        <v>0</v>
      </c>
      <c r="BO100" s="115">
        <f>X92*AO100</f>
        <v>0</v>
      </c>
      <c r="BP100" s="43">
        <f>Y92*AO100</f>
        <v>0</v>
      </c>
      <c r="BQ100" s="43">
        <f>Z92*AO100</f>
        <v>39760</v>
      </c>
      <c r="BR100" s="43">
        <f>AA92*AO100</f>
        <v>0</v>
      </c>
      <c r="BS100" s="43">
        <f>AB92*AO100</f>
        <v>39760</v>
      </c>
      <c r="BT100" s="43">
        <f>AC92*AO100</f>
        <v>0</v>
      </c>
      <c r="BU100" s="43">
        <f>AD92*AO100</f>
        <v>39760</v>
      </c>
      <c r="BV100" s="43">
        <f>AE92*AO100</f>
        <v>0</v>
      </c>
      <c r="BW100" s="43">
        <f>AF92*AO100</f>
        <v>0</v>
      </c>
      <c r="BX100" s="43">
        <f>AG92*AO100</f>
        <v>136774.39999999999</v>
      </c>
      <c r="BY100" s="43" t="e">
        <f>AH92*AO100</f>
        <v>#REF!</v>
      </c>
      <c r="BZ100" s="43" t="e">
        <f>AI92*AO100</f>
        <v>#REF!</v>
      </c>
      <c r="CA100" s="44">
        <f>AN100*S94</f>
        <v>0</v>
      </c>
      <c r="CB100" s="44">
        <f>AN100*T94</f>
        <v>0</v>
      </c>
      <c r="CC100" s="44">
        <f>AN100*U94</f>
        <v>2097.1375199999998</v>
      </c>
      <c r="CD100" s="44">
        <f>AN100*V94</f>
        <v>0</v>
      </c>
      <c r="CE100" s="44">
        <f>AN100*W94</f>
        <v>1048.5687599999999</v>
      </c>
      <c r="CF100" s="44">
        <f>AN100*X94</f>
        <v>1048.5687599999999</v>
      </c>
      <c r="CG100" s="44">
        <f>AN100*Y94</f>
        <v>2097.1375199999998</v>
      </c>
      <c r="CH100" s="44">
        <f>AN100*Z94</f>
        <v>0</v>
      </c>
      <c r="CI100" s="44">
        <f>AN100*AA94</f>
        <v>3026.2224805928518</v>
      </c>
      <c r="CJ100" s="44">
        <f>AN100*AB94</f>
        <v>0</v>
      </c>
      <c r="CK100" s="44">
        <f>AN100*AC94</f>
        <v>0</v>
      </c>
      <c r="CL100" s="44">
        <f>AN100*AD94</f>
        <v>877.70831300592693</v>
      </c>
      <c r="CM100" s="44">
        <f>AN100*AE94</f>
        <v>0</v>
      </c>
      <c r="CN100" s="44">
        <f>AN100*AF94</f>
        <v>0</v>
      </c>
      <c r="CO100" s="44">
        <f>AN100*AG94</f>
        <v>0</v>
      </c>
      <c r="CP100" s="44">
        <f>AN100*AH94</f>
        <v>0</v>
      </c>
      <c r="CQ100" s="44">
        <f>AN100*AI94</f>
        <v>1.3060787914867302E-2</v>
      </c>
      <c r="CS100" s="13"/>
    </row>
    <row r="101" spans="2:116" ht="15.75" hidden="1" x14ac:dyDescent="0.25">
      <c r="B101" s="140"/>
      <c r="C101" s="140"/>
      <c r="D101" s="140">
        <f>D100-D100*H20</f>
        <v>269942.55296477117</v>
      </c>
      <c r="E101">
        <v>13</v>
      </c>
      <c r="F101" s="140">
        <f>F100+F100*(G15+G16+G17-Q100-H20)</f>
        <v>452527.90882628434</v>
      </c>
      <c r="G101" s="140">
        <f>F101*G16</f>
        <v>9095.8109674083153</v>
      </c>
      <c r="H101" s="140">
        <f>F101*G17</f>
        <v>5430.3349059154125</v>
      </c>
      <c r="I101" s="140">
        <f>F101*G15</f>
        <v>22626.39544131422</v>
      </c>
      <c r="J101" s="140">
        <f>D101*G9</f>
        <v>16196.55317788627</v>
      </c>
      <c r="K101" s="117">
        <f>(G9*G6)/F101</f>
        <v>4.5610446554630618E-2</v>
      </c>
      <c r="L101" s="97">
        <f>(G101-C8-(G6*G7)+C7+H101)</f>
        <v>55483.905873323733</v>
      </c>
      <c r="M101" s="117">
        <f>IF(M87&lt;100,0,IF(L101&gt;M25,O26,IF(L101&gt;M24,O25,IF(L101&gt;M23,O24,IF(L101&gt;M22,O23,IF(L101&gt;M21,O22,IF(L101&gt;M20,O21,IF(L101&gt;M19,O20,IF(L101&gt;M18,O19,IF(L101&gt;M17,O18,IF(L101&gt;M16,O17,O16)))))))))))</f>
        <v>6.3899999999999998E-2</v>
      </c>
      <c r="N101" s="117">
        <f t="shared" si="124"/>
        <v>1.2843899999999998E-3</v>
      </c>
      <c r="O101" s="117">
        <f>(IF(L101&gt;M25,N26,IF(L101&gt;M24,N25,IF(L101&gt;M23,N24,IF(L101&gt;M22,N23,IF(L101&gt;M21,N22,IF(L101&gt;M20,N21,IF(L101&gt;M19,N20,IF(L101&gt;M18,N19,IF(L101&gt;M17,N18,IF(L101&gt;M16,N17,N16))))))))))*H101)/F101</f>
        <v>3.5580000000000004E-3</v>
      </c>
      <c r="P101" s="117">
        <f t="shared" si="125"/>
        <v>4.8423900000000002E-3</v>
      </c>
      <c r="Q101" s="261">
        <f t="shared" si="120"/>
        <v>5.0452836554630613E-2</v>
      </c>
      <c r="R101" s="3" t="s">
        <v>70</v>
      </c>
      <c r="S101" s="8">
        <f>IF(S99&lt;AL92,BJ92,IF(S99&lt;AL93,BJ93,IF(S99&lt;AL94,BJ94,IF(S99&lt;AL95,BJ95,IF(S99&lt;AL96,BJ96,IF(S99&lt;AL97,BJ97,BJ98))))))</f>
        <v>0</v>
      </c>
      <c r="T101" s="8">
        <f>IF(T99&lt;AL92,BK92,IF(T99&lt;AL93,BK93,IF(T99&lt;AL94,BK94,IF(T99&lt;AL95,BK95,IF(T99&lt;AL96,BK96,IF(T99&lt;AL97,BK97,BK98))))))</f>
        <v>0</v>
      </c>
      <c r="U101" s="8">
        <f>IF(U99&lt;AL92,BL92,IF(U99&lt;AL93,BL93,IF(U99&lt;AL94,BL94,IF(U99&lt;AL95,BL95,IF(U99&lt;AL96,BL96,IF(U99&lt;AL97,BL97,BL98))))))</f>
        <v>0</v>
      </c>
      <c r="V101" s="8">
        <f>IF(V99&lt;AL92,BM92,IF(V99&lt;AL93,BM93,IF(V99&lt;AL94,BM94,IF(V99&lt;AL95,BM95,IF(V99&lt;AL96,BM96,IF(V99&lt;AL97,BM97,BM98))))))</f>
        <v>0</v>
      </c>
      <c r="W101" s="2">
        <f>IF(W99&lt;AL92,BN92,IF(W99&lt;AL93,BN93,IF(W99&lt;AL94,BN94,IF(W99&lt;AL95,BN95,IF(W99&lt;AL96,BN96,IF(W99&lt;AL97,BN97,BN98))))))</f>
        <v>0</v>
      </c>
      <c r="X101" s="2">
        <f>IF(X99&lt;AL92,BO92,IF(X99&lt;AL93,BO93,IF(X99&lt;AL94,BO94,IF(X99&lt;AL95,BO95,IF(X99&lt;AL96,BO96,IF(X99&lt;AL97,BO97,BO98))))))</f>
        <v>0</v>
      </c>
      <c r="Y101" s="2">
        <f>IF(Y99&lt;AL92,BP92,IF(Y99&lt;AL93,BP93,IF(Y99&lt;AL94,BP94,IF(Y99&lt;AL95,BP95,IF(Y99&lt;AL96,BP96,IF(Y99&lt;AL97,BP97,BP98))))))</f>
        <v>0</v>
      </c>
      <c r="Z101" s="2">
        <f>IF(Z99&lt;AL92,BQ92,IF(Z99&lt;AL93,BQ93,IF(Z99&lt;AL94,BQ94,IF(Z99&lt;AL95,BQ95,IF(Z99&lt;AL96,BQ96,IF(Z99&lt;AL97,BQ97,BQ98))))))</f>
        <v>29320</v>
      </c>
      <c r="AA101" s="2">
        <f>IF(AA99&lt;AL92,BR92,IF(AA99&lt;AL93,BR93,IF(AA99&lt;AL94,BR94,IF(AA99&lt;AL95,BR95,IF(AA99&lt;AL96,BR96,IF(AA99&lt;AL97,BR97,BR98))))))</f>
        <v>0</v>
      </c>
      <c r="AB101" s="2">
        <f>IF(AB99&lt;AL92,BS92,IF(AB99&lt;AL93,BS93,IF(AB99&lt;AL94,BS94,IF(AB99&lt;AL95,BS95,IF(AB99&lt;AL96,BS96,IF(AB99&lt;AL97,BS97,BS98))))))</f>
        <v>29320</v>
      </c>
      <c r="AC101" s="2">
        <f>IF(AC99&lt;AL92,BT92,IF(AC99&lt;AL93,BT93,IF(AC99&lt;AL94,BT94,IF(AC99&lt;AL95,BT95,IF(AC99&lt;AL96,BT96,IF(AC99&lt;AL97,BT97,BT98))))))</f>
        <v>0</v>
      </c>
      <c r="AD101" s="2">
        <f>IF(AD99&lt;AL92,BU92,IF(AD99&lt;AL93,BU93,IF(AD99&lt;AL94,BU94,IF(AD99&lt;AL95,BU95,IF(AD99&lt;AL96,BU96,IF(AD99&lt;AL97,BU97,BU98))))))</f>
        <v>29320</v>
      </c>
      <c r="AE101" s="2">
        <f>IF(AE99&lt;AL92,BV92,IF(AE99&lt;AL93,BV93,IF(AE99&lt;AL94,BV94,IF(AE99&lt;AL95,BV95,IF(AE99&lt;AL96,BV96,IF(AE99&lt;AL97,BV97,BV98))))))</f>
        <v>0</v>
      </c>
      <c r="AF101" s="2" t="e">
        <f>IF(AF99&lt;AL92,BW92,IF(AF99&lt;AL93,BW93,IF(AF99&lt;AL94,BW94,IF(AF99&lt;AL95,BW95,IF(AF99&lt;AL96,BW96,IF(AF99&lt;AL97,BW97,BW98))))))</f>
        <v>#VALUE!</v>
      </c>
      <c r="AG101" s="2">
        <f>IF(AG99&lt;AL92,BX92,IF(AG99&lt;AL93,BX93,IF(AG99&lt;AL94,BX94,IF(AG99&lt;AL95,BX95,IF(AG99&lt;AL96,BX96,IF(AG99&lt;AL97,BX97,BX98))))))</f>
        <v>136774.39999999999</v>
      </c>
      <c r="AH101" s="2" t="e">
        <f>IF(AH99&lt;AL92,BY92,IF(AH99&lt;AL93,BY93,IF(AH99&lt;AL94,BY94,IF(AH99&lt;AL95,BY95,IF(AH99&lt;AL96,BY96,IF(AH99&lt;AL97,BY97,BY98))))))</f>
        <v>#REF!</v>
      </c>
      <c r="AI101" s="2" t="e">
        <f>IF(AI99&lt;AL92,BZ92,IF(AI99&lt;AL93,BZ93,IF(AI99&lt;AL94,BZ94,IF(AI99&lt;AL95,BZ95,IF(AI99&lt;AL96,BZ96,IF(AI99&lt;AL97,BZ97,BZ98))))))</f>
        <v>#REF!</v>
      </c>
      <c r="AL101" s="123">
        <v>205843</v>
      </c>
      <c r="AM101" s="111">
        <v>0.47499999999999998</v>
      </c>
      <c r="AN101" s="113">
        <v>0.30330000000000001</v>
      </c>
      <c r="AO101" s="113">
        <v>0.39760000000000001</v>
      </c>
      <c r="AP101" s="13"/>
      <c r="AQ101" s="13"/>
      <c r="AR101" s="97"/>
      <c r="AS101" s="114"/>
      <c r="AT101" s="114"/>
      <c r="AU101" s="115">
        <f>AR100+AM101*(U98-AK101)</f>
        <v>21415.736000000001</v>
      </c>
      <c r="AV101" s="115">
        <f>AR100+AM101*(V98-AK101)</f>
        <v>110310.31399999998</v>
      </c>
      <c r="AW101" s="115">
        <f>AR100+AM101*(W98-AK101)</f>
        <v>24350.399999999998</v>
      </c>
      <c r="AX101" s="43">
        <f>AR100+AM101*(X98-AK101)</f>
        <v>107375.65</v>
      </c>
      <c r="AY101" s="115">
        <f>AR100+AM101*(Y98-AK101)</f>
        <v>108356.04999999999</v>
      </c>
      <c r="AZ101" s="115">
        <f>AR100+AM101*(Z98-AK101)</f>
        <v>0</v>
      </c>
      <c r="BA101" s="115">
        <f>AR100+AM101*(AA98-AK101)</f>
        <v>19119.845593259772</v>
      </c>
      <c r="BB101" s="43">
        <f>AR100+AM101*(AB98-AK101)</f>
        <v>0</v>
      </c>
      <c r="BC101" s="43">
        <f>AR100+AM101*(AC98-AK101)</f>
        <v>19000</v>
      </c>
      <c r="BD101" s="43">
        <f>AR100+AM101*(AD98-AK101)</f>
        <v>680.45347189936615</v>
      </c>
      <c r="BE101" s="43">
        <f>AR100+AM101*(AE98-AK101)</f>
        <v>19000</v>
      </c>
      <c r="BF101" s="43" t="e">
        <f>AR100+AM101*(AF98-AK101)</f>
        <v>#VALUE!</v>
      </c>
      <c r="BG101" s="43">
        <f>AR100+AM101*(AG98-AK101)</f>
        <v>106395.25</v>
      </c>
      <c r="BH101" s="43">
        <f>AR100+AM101*(AH98-AK101)</f>
        <v>0</v>
      </c>
      <c r="BI101" s="43">
        <f>AR100+AM101*(AI98-AK101)</f>
        <v>19000</v>
      </c>
      <c r="BJ101" s="115">
        <f>S92*AO101</f>
        <v>0</v>
      </c>
      <c r="BK101" s="115">
        <f>T92*AO101</f>
        <v>0</v>
      </c>
      <c r="BL101" s="115">
        <f>U92*AO101</f>
        <v>0</v>
      </c>
      <c r="BM101" s="115">
        <f>V92*AO101</f>
        <v>0</v>
      </c>
      <c r="BN101" s="115">
        <f>W92*AO101</f>
        <v>0</v>
      </c>
      <c r="BO101" s="115">
        <f>X92*AO101</f>
        <v>0</v>
      </c>
      <c r="BP101" s="43">
        <f>Y92*AO101</f>
        <v>0</v>
      </c>
      <c r="BQ101" s="43">
        <f>Z92*AO101</f>
        <v>39760</v>
      </c>
      <c r="BR101" s="43">
        <f>AA92*AO101</f>
        <v>0</v>
      </c>
      <c r="BS101" s="43">
        <f>AB92*AO101</f>
        <v>39760</v>
      </c>
      <c r="BT101" s="43">
        <f>AC92*AO101</f>
        <v>0</v>
      </c>
      <c r="BU101" s="43">
        <f>AD92*AO101</f>
        <v>39760</v>
      </c>
      <c r="BV101" s="43">
        <f>AE92*AO101</f>
        <v>0</v>
      </c>
      <c r="BW101" s="43">
        <f>AF92*AO101</f>
        <v>0</v>
      </c>
      <c r="BX101" s="43">
        <f>AG92*AO101</f>
        <v>136774.39999999999</v>
      </c>
      <c r="BY101" s="43" t="e">
        <f>AH92*AO101</f>
        <v>#REF!</v>
      </c>
      <c r="BZ101" s="43" t="e">
        <f>AI92*AO101</f>
        <v>#REF!</v>
      </c>
      <c r="CA101" s="44">
        <f>AN101*S94</f>
        <v>0</v>
      </c>
      <c r="CB101" s="44">
        <f>AN101*T94</f>
        <v>0</v>
      </c>
      <c r="CC101" s="44">
        <f>AN101*U94</f>
        <v>2097.1375199999998</v>
      </c>
      <c r="CD101" s="44">
        <f>AN101*V94</f>
        <v>0</v>
      </c>
      <c r="CE101" s="44">
        <f>AN101*W94</f>
        <v>1048.5687599999999</v>
      </c>
      <c r="CF101" s="44">
        <f>AN101*X94</f>
        <v>1048.5687599999999</v>
      </c>
      <c r="CG101" s="44">
        <f>AN101*Y94</f>
        <v>2097.1375199999998</v>
      </c>
      <c r="CH101" s="44">
        <f>AN101*Z94</f>
        <v>0</v>
      </c>
      <c r="CI101" s="44">
        <f>AN101*AA94</f>
        <v>3026.2224805928518</v>
      </c>
      <c r="CJ101" s="44">
        <f>AN101*AB94</f>
        <v>0</v>
      </c>
      <c r="CK101" s="44">
        <f>AN101*AC94</f>
        <v>0</v>
      </c>
      <c r="CL101" s="44">
        <f>AN101*AD94</f>
        <v>877.70831300592693</v>
      </c>
      <c r="CM101" s="44">
        <f>AN101*AE94</f>
        <v>0</v>
      </c>
      <c r="CN101" s="44">
        <f>AN101*AF94</f>
        <v>0</v>
      </c>
      <c r="CO101" s="44">
        <f>AN101*AG94</f>
        <v>0</v>
      </c>
      <c r="CP101" s="44">
        <f>AN101*AH94</f>
        <v>0</v>
      </c>
      <c r="CQ101" s="44">
        <f>AN101*AI94</f>
        <v>1.3060787914867302E-2</v>
      </c>
      <c r="CR101" s="13"/>
      <c r="CS101" s="13"/>
    </row>
    <row r="102" spans="2:116" ht="15.75" hidden="1" x14ac:dyDescent="0.25">
      <c r="B102" s="140"/>
      <c r="C102" s="140"/>
      <c r="D102" s="140">
        <f>D101-D101*H20</f>
        <v>264543.70190547575</v>
      </c>
      <c r="E102">
        <v>14</v>
      </c>
      <c r="F102" s="140">
        <f>F101+F101*(G15+G16+G17-Q101-H20)</f>
        <v>457798.57534397527</v>
      </c>
      <c r="G102" s="140">
        <f>F102*G16</f>
        <v>9201.7513644139035</v>
      </c>
      <c r="H102" s="140">
        <f>F102*G17</f>
        <v>5493.5829041277038</v>
      </c>
      <c r="I102" s="140">
        <f>F102*G15</f>
        <v>22889.928767198766</v>
      </c>
      <c r="J102" s="140">
        <f>D102*G9</f>
        <v>15872.622114328544</v>
      </c>
      <c r="K102" s="117">
        <f>(G9*G6)/F102</f>
        <v>4.5085330343135652E-2</v>
      </c>
      <c r="L102" s="97">
        <f>(G102-C8-(G6*G7)+C7+H102)</f>
        <v>55653.094268541608</v>
      </c>
      <c r="M102" s="117">
        <f>IF(M87&lt;100,0,IF(L102&gt;M25,O26,IF(L102&gt;M24,O25,IF(L102&gt;M23,O24,IF(L102&gt;M22,O23,IF(L102&gt;M21,O22,IF(L102&gt;M20,O21,IF(L102&gt;M19,O20,IF(L102&gt;M18,O19,IF(L102&gt;M17,O18,IF(L102&gt;M16,O17,O16)))))))))))</f>
        <v>6.3899999999999998E-2</v>
      </c>
      <c r="N102" s="117">
        <f t="shared" si="124"/>
        <v>1.2843900000000001E-3</v>
      </c>
      <c r="O102" s="117">
        <f>(IF(L102&gt;M25,N26,IF(L102&gt;M24,N25,IF(L102&gt;M23,N24,IF(L102&gt;M22,N23,IF(L102&gt;M21,N22,IF(L102&gt;M20,N21,IF(L102&gt;M19,N20,IF(L102&gt;M18,N19,IF(L102&gt;M17,N18,IF(L102&gt;M16,N17,N16))))))))))*H102)/F102</f>
        <v>3.558E-3</v>
      </c>
      <c r="P102" s="117">
        <f t="shared" si="125"/>
        <v>4.8423900000000002E-3</v>
      </c>
      <c r="Q102" s="261">
        <f t="shared" si="120"/>
        <v>4.9927720343135654E-2</v>
      </c>
      <c r="R102" s="3" t="s">
        <v>49</v>
      </c>
      <c r="S102" s="66">
        <f t="shared" ref="S102:AI102" si="152">CA103</f>
        <v>0</v>
      </c>
      <c r="T102" s="66">
        <f t="shared" si="152"/>
        <v>0</v>
      </c>
      <c r="U102" s="66">
        <f t="shared" si="152"/>
        <v>713.56607999999994</v>
      </c>
      <c r="V102" s="66">
        <f t="shared" si="152"/>
        <v>0</v>
      </c>
      <c r="W102" s="66">
        <f t="shared" si="152"/>
        <v>356.78303999999997</v>
      </c>
      <c r="X102" s="66">
        <f t="shared" si="152"/>
        <v>1048.5687599999999</v>
      </c>
      <c r="Y102" s="66">
        <f t="shared" si="152"/>
        <v>2097.1375199999998</v>
      </c>
      <c r="Z102" s="130">
        <f t="shared" si="152"/>
        <v>0</v>
      </c>
      <c r="AA102" s="130">
        <f t="shared" si="152"/>
        <v>1029.6939004193284</v>
      </c>
      <c r="AB102" s="130">
        <f t="shared" si="152"/>
        <v>0</v>
      </c>
      <c r="AC102" s="130">
        <f t="shared" si="152"/>
        <v>0</v>
      </c>
      <c r="AD102" s="130">
        <f t="shared" si="152"/>
        <v>518.29066554355927</v>
      </c>
      <c r="AE102" s="130">
        <f t="shared" si="152"/>
        <v>0</v>
      </c>
      <c r="AF102" s="130" t="e">
        <f t="shared" si="152"/>
        <v>#VALUE!</v>
      </c>
      <c r="AG102" s="130">
        <f t="shared" si="152"/>
        <v>0</v>
      </c>
      <c r="AH102" s="130" t="e">
        <f t="shared" si="152"/>
        <v>#REF!</v>
      </c>
      <c r="AI102" s="130" t="e">
        <f t="shared" si="152"/>
        <v>#REF!</v>
      </c>
      <c r="AJ102" t="e">
        <f>IF(#REF!&lt;AL92,AM92,IF(#REF!&lt;AL93,AM93,IF(#REF!&lt;AL94,AM94,IF(#REF!&lt;AL95,AM95,IF(#REF!&lt;AL96,AM96,IF(#REF!&lt;AL97,AM97,AM98))))))</f>
        <v>#REF!</v>
      </c>
      <c r="AL102" s="123">
        <v>205843</v>
      </c>
      <c r="AM102" s="111">
        <v>0.47499999999999998</v>
      </c>
      <c r="AN102" s="113">
        <v>0.30330000000000001</v>
      </c>
      <c r="AO102" s="113">
        <v>0.39760000000000001</v>
      </c>
      <c r="AP102" s="13"/>
      <c r="AQ102" s="13"/>
      <c r="AR102" s="97"/>
      <c r="AS102" s="114"/>
      <c r="AT102" s="114"/>
      <c r="AU102" s="115">
        <f>AR101+AM102*(U98-AK102)</f>
        <v>21415.736000000001</v>
      </c>
      <c r="AV102" s="115">
        <f>AR101+AM102*(V98-AK102)</f>
        <v>110310.31399999998</v>
      </c>
      <c r="AW102" s="115">
        <f>AR101+AM102*(W98-AK102)</f>
        <v>24350.399999999998</v>
      </c>
      <c r="AX102" s="43">
        <f>AR101+AM102*(X98-AK102)</f>
        <v>107375.65</v>
      </c>
      <c r="AY102" s="115">
        <f>AR101+AM102*(Y98-AK102)</f>
        <v>108356.04999999999</v>
      </c>
      <c r="AZ102" s="115">
        <f>AR101+AM102*(Z98-AK102)</f>
        <v>0</v>
      </c>
      <c r="BA102" s="115">
        <f>AR101+AM102*(AA98-AK102)</f>
        <v>19119.845593259772</v>
      </c>
      <c r="BB102" s="43">
        <f>AR101+AM102*(AB98-AK102)</f>
        <v>0</v>
      </c>
      <c r="BC102" s="43">
        <f>AR101+AM102*(AC98-AK102)</f>
        <v>19000</v>
      </c>
      <c r="BD102" s="43">
        <f>AR101+AM102*(AD98-AK102)</f>
        <v>680.45347189936615</v>
      </c>
      <c r="BE102" s="43">
        <f>AR101+AM102*(AE98-AK102)</f>
        <v>19000</v>
      </c>
      <c r="BF102" s="43" t="e">
        <f>AR101+AM102*(AF98-AK102)</f>
        <v>#VALUE!</v>
      </c>
      <c r="BG102" s="43">
        <f>AR101+AM102*(AG98-AK102)</f>
        <v>106395.25</v>
      </c>
      <c r="BH102" s="43">
        <f>AR101+AM102*(AH98-AK102)</f>
        <v>0</v>
      </c>
      <c r="BI102" s="43">
        <f>AR101+AM102*(AI98-AK102)</f>
        <v>19000</v>
      </c>
      <c r="BJ102" s="115">
        <f>S92*AO102</f>
        <v>0</v>
      </c>
      <c r="BK102" s="115">
        <f>T92*AO102</f>
        <v>0</v>
      </c>
      <c r="BL102" s="115">
        <f>U92*AO102</f>
        <v>0</v>
      </c>
      <c r="BM102" s="115">
        <f>V92*AO102</f>
        <v>0</v>
      </c>
      <c r="BN102" s="115">
        <f>W92*AO102</f>
        <v>0</v>
      </c>
      <c r="BO102" s="115">
        <f>X92*AO102</f>
        <v>0</v>
      </c>
      <c r="BP102" s="43">
        <f>Y92*AO102</f>
        <v>0</v>
      </c>
      <c r="BQ102" s="43">
        <f>Z92*AO102</f>
        <v>39760</v>
      </c>
      <c r="BR102" s="43">
        <f>AA92*AO102</f>
        <v>0</v>
      </c>
      <c r="BS102" s="43">
        <f>AB92*AO102</f>
        <v>39760</v>
      </c>
      <c r="BT102" s="43">
        <f>AC92*AO102</f>
        <v>0</v>
      </c>
      <c r="BU102" s="43">
        <f>AD92*AO102</f>
        <v>39760</v>
      </c>
      <c r="BV102" s="43">
        <f>AE92*AO102</f>
        <v>0</v>
      </c>
      <c r="BW102" s="43">
        <f>AF92*AO102</f>
        <v>0</v>
      </c>
      <c r="BX102" s="43">
        <f>AG92*AO102</f>
        <v>136774.39999999999</v>
      </c>
      <c r="BY102" s="43" t="e">
        <f>AH92*AO102</f>
        <v>#REF!</v>
      </c>
      <c r="BZ102" s="43" t="e">
        <f>AI92*AO102</f>
        <v>#REF!</v>
      </c>
      <c r="CA102" s="44">
        <f>AN102*S94</f>
        <v>0</v>
      </c>
      <c r="CB102" s="44">
        <f>AN102*T94</f>
        <v>0</v>
      </c>
      <c r="CC102" s="44">
        <f>AN102*U94</f>
        <v>2097.1375199999998</v>
      </c>
      <c r="CD102" s="44">
        <f>AN102*V94</f>
        <v>0</v>
      </c>
      <c r="CE102" s="44">
        <f>AN102*W94</f>
        <v>1048.5687599999999</v>
      </c>
      <c r="CF102" s="44">
        <f>AN102*X94</f>
        <v>1048.5687599999999</v>
      </c>
      <c r="CG102" s="44">
        <f>AN102*Y94</f>
        <v>2097.1375199999998</v>
      </c>
      <c r="CH102" s="44">
        <f>AN102*Z94</f>
        <v>0</v>
      </c>
      <c r="CI102" s="44">
        <f>AN102*AA94</f>
        <v>3026.2224805928518</v>
      </c>
      <c r="CJ102" s="44">
        <f>AN102*AB94</f>
        <v>0</v>
      </c>
      <c r="CK102" s="44">
        <f>AN102*AC94</f>
        <v>0</v>
      </c>
      <c r="CL102" s="44">
        <f>AN102*AD94</f>
        <v>877.70831300592693</v>
      </c>
      <c r="CM102" s="44">
        <f>AN102*AE94</f>
        <v>0</v>
      </c>
      <c r="CN102" s="44">
        <f>AN102*AF94</f>
        <v>0</v>
      </c>
      <c r="CO102" s="44">
        <f>AN102*AG94</f>
        <v>0</v>
      </c>
      <c r="CP102" s="44">
        <f>AN102*AH94</f>
        <v>0</v>
      </c>
      <c r="CQ102" s="44">
        <f>AN102*AI94</f>
        <v>1.3060787914867302E-2</v>
      </c>
      <c r="CR102" s="13"/>
      <c r="CS102" s="13"/>
    </row>
    <row r="103" spans="2:116" ht="15.75" hidden="1" x14ac:dyDescent="0.25">
      <c r="B103" s="140"/>
      <c r="C103" s="140"/>
      <c r="D103" s="140">
        <f>D102-D102*H20</f>
        <v>259252.82786736623</v>
      </c>
      <c r="E103">
        <v>15</v>
      </c>
      <c r="F103" s="140">
        <f>F102+F102*(G15+G16+G17-Q102-H20)</f>
        <v>463371.02762957622</v>
      </c>
      <c r="G103" s="140">
        <f>F103*G16</f>
        <v>9313.7576553544823</v>
      </c>
      <c r="H103" s="140">
        <f>F103*G17</f>
        <v>5560.452331554915</v>
      </c>
      <c r="I103" s="140">
        <f>F103*G15</f>
        <v>23168.551381478814</v>
      </c>
      <c r="J103" s="140">
        <f>D103*G9</f>
        <v>15555.169672041973</v>
      </c>
      <c r="K103" s="117">
        <f>(G9*G6)/F103</f>
        <v>4.4543138800857092E-2</v>
      </c>
      <c r="L103" s="97">
        <f>(G103-C8-(G6*G7)+C7+H103)</f>
        <v>55831.969986909397</v>
      </c>
      <c r="M103" s="117">
        <f>IF(M87&lt;100,0,IF(L103&gt;M25,O26,IF(L103&gt;M24,O25,IF(L103&gt;M23,O24,IF(L103&gt;M22,O23,IF(L103&gt;M21,O22,IF(L103&gt;M20,O21,IF(L103&gt;M19,O20,IF(L103&gt;M18,O19,IF(L103&gt;M17,O18,IF(L103&gt;M16,O17,O16)))))))))))</f>
        <v>6.3899999999999998E-2</v>
      </c>
      <c r="N103" s="117">
        <f t="shared" si="124"/>
        <v>1.2843900000000001E-3</v>
      </c>
      <c r="O103" s="117">
        <f>(IF(L103&gt;M25,N26,IF(L103&gt;M24,N25,IF(L103&gt;M23,N24,IF(L103&gt;M22,N23,IF(L103&gt;M21,N22,IF(L103&gt;M20,N21,IF(L103&gt;M19,N20,IF(L103&gt;M18,N19,IF(L103&gt;M17,N18,IF(L103&gt;M16,N17,N16))))))))))*H103)/F103</f>
        <v>3.558E-3</v>
      </c>
      <c r="P103" s="117">
        <f t="shared" si="125"/>
        <v>4.8423900000000002E-3</v>
      </c>
      <c r="Q103" s="261">
        <f t="shared" si="120"/>
        <v>4.9385528800857094E-2</v>
      </c>
      <c r="R103" s="3" t="s">
        <v>73</v>
      </c>
      <c r="S103" s="135"/>
      <c r="T103" s="97">
        <f>S104-T104</f>
        <v>-69878.48</v>
      </c>
      <c r="U103" s="85">
        <f>U104-S104</f>
        <v>-644.1331199999986</v>
      </c>
      <c r="V103" s="85">
        <f>V104-T104</f>
        <v>3915.0639999999985</v>
      </c>
      <c r="W103" s="85">
        <f>W104-S104</f>
        <v>1037.9030399999992</v>
      </c>
      <c r="X103" s="85">
        <f>X104-T104</f>
        <v>2028.9687600000034</v>
      </c>
      <c r="Y103" s="85">
        <f>Y104-T104</f>
        <v>4057.9375200000068</v>
      </c>
      <c r="Z103" s="142">
        <f t="shared" ref="Z103:AE103" si="153">Z104-W104</f>
        <v>6919.2719599999982</v>
      </c>
      <c r="AA103" s="142">
        <f t="shared" si="153"/>
        <v>-73830.493710579147</v>
      </c>
      <c r="AB103" s="142">
        <f t="shared" si="153"/>
        <v>-65979.242520000014</v>
      </c>
      <c r="AC103" s="142">
        <f t="shared" si="153"/>
        <v>-10524.794999999998</v>
      </c>
      <c r="AD103" s="142">
        <f t="shared" si="153"/>
        <v>10950.036061767456</v>
      </c>
      <c r="AE103" s="142">
        <f t="shared" si="153"/>
        <v>-10524.794999999998</v>
      </c>
      <c r="AF103" s="85" t="e">
        <f>AF104-S104</f>
        <v>#VALUE!</v>
      </c>
      <c r="AG103" s="85">
        <f>AG104-T104</f>
        <v>136774.40000000002</v>
      </c>
      <c r="AH103" s="85" t="e">
        <f>AH104-U104</f>
        <v>#REF!</v>
      </c>
      <c r="AI103" s="85" t="e">
        <f>AI104-V104</f>
        <v>#REF!</v>
      </c>
      <c r="AJ103" t="s">
        <v>51</v>
      </c>
      <c r="AL103" s="123">
        <v>205843</v>
      </c>
      <c r="AM103" s="111">
        <v>0.47499999999999998</v>
      </c>
      <c r="AN103" s="113">
        <v>0.30330000000000001</v>
      </c>
      <c r="AO103" s="113">
        <v>0.39760000000000001</v>
      </c>
      <c r="AP103" s="143"/>
      <c r="AQ103" s="143"/>
      <c r="AR103" s="143"/>
      <c r="AS103" s="143"/>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44">
        <f>IF(S99&lt;AL92,CA92,IF(S99&lt;AL93,CA93,IF(S99&lt;AL94,CA94,IF(S99&lt;AL95,CA95,IF(S99&lt;AL96,CA96,IF(S99&lt;AL97,CA97,CA98))))))</f>
        <v>0</v>
      </c>
      <c r="CB103" s="44">
        <f>IF(T99&lt;AL92,CB92,IF(T99&lt;AL93,CB93,IF(T99&lt;AL94,CB94,IF(T99&lt;AL95,CB95,IF(T99&lt;AL96,CB96,IF(T99&lt;AL97,CB97,CB98))))))</f>
        <v>0</v>
      </c>
      <c r="CC103" s="44">
        <f>IF(U99&lt;AL92,CC92,IF(U99&lt;AL93,CC93,IF(U99&lt;AL94,CC94,IF(U99&lt;AL95,CC95,IF(U99&lt;AL96,CC96,IF(U99&lt;AL97,CC97,CC98))))))</f>
        <v>713.56607999999994</v>
      </c>
      <c r="CD103" s="44">
        <f>IF(V99&lt;AL92,CD92,IF(V99&lt;AL93,CD93,IF(V99&lt;AL94,CD94,IF(V99&lt;AL95,CD95,IF(V99&lt;AL96,CD96,IF(V99&lt;AL97,CD97,CD98))))))</f>
        <v>0</v>
      </c>
      <c r="CE103" s="44">
        <f>IF(W99&lt;AL92,CE92,IF(W99&lt;AL93,CE93,IF(W99&lt;AL94,CE94,IF(W99&lt;AL95,CE95,IF(W99&lt;AL96,CE96,IF(W99&lt;AL97,CE97,CE98))))))</f>
        <v>356.78303999999997</v>
      </c>
      <c r="CF103" s="44">
        <f>IF(X99&lt;AL92,CF92,IF(X99&lt;AL93,CF93,IF(X99&lt;AL94,CF94,IF(X99&lt;AL95,CF95,IF(X99&lt;AL96,CF96,IF(X99&lt;AL97,CF97,CF98))))))</f>
        <v>1048.5687599999999</v>
      </c>
      <c r="CG103" s="44">
        <f>IF(Y99&lt;AL92,CG92,IF(Y99&lt;AL93,CG93,IF(Y99&lt;AL94,CG94,IF(Y99&lt;AL95,CG95,IF(Y99&lt;AL96,CG96,IF(Y99&lt;AL97,CG97,CG98))))))</f>
        <v>2097.1375199999998</v>
      </c>
      <c r="CH103" s="44">
        <f>IF(Z99&lt;AL92,CH92,IF(Z99&lt;AL93,CH93,IF(Z99&lt;AL94,CH94,IF(Z99&lt;AL95,CH95,IF(Z99&lt;AL96,CH96,IF(Z99&lt;AL97,CH97,CH98))))))</f>
        <v>0</v>
      </c>
      <c r="CI103" s="44">
        <f>IF(AA99&lt;AL92,CI92,IF(AA99&lt;AL93,CI93,IF(AA99&lt;AL94,CI94,IF(AA99&lt;AL95,CI95,IF(AA99&lt;AL96,CI96,IF(AA99&lt;AL97,CI97,CI98))))))</f>
        <v>1029.6939004193284</v>
      </c>
      <c r="CJ103" s="44">
        <f>IF(AB99&lt;AL92,CJ92,IF(AB99&lt;AL93,CJ93,IF(AB99&lt;AL94,CJ94,IF(AB99&lt;AL95,CJ95,IF(AB99&lt;AL96,CJ96,IF(AB99&lt;AL97,CJ97,CJ98))))))</f>
        <v>0</v>
      </c>
      <c r="CK103" s="44">
        <f>IF(AC99&lt;AL92,CK92,IF(AC99&lt;AL93,CK93,IF(AC99&lt;AL94,CK94,IF(AC99&lt;AL95,CK95,IF(AC99&lt;AL96,CK96,IF(AC99&lt;AL97,CK97,CK98))))))</f>
        <v>0</v>
      </c>
      <c r="CL103" s="44">
        <f>IF(AD99&lt;AL92,CL92,IF(AD99&lt;AL93,CL93,IF(AD99&lt;AL94,CL94,IF(AD99&lt;AL95,CL95,IF(AD99&lt;AL96,CL96,IF(AD99&lt;AL97,CL97,CL98))))))</f>
        <v>518.29066554355927</v>
      </c>
      <c r="CM103" s="44">
        <f>IF(AE99&lt;AL92,CM92,IF(AE99&lt;AL93,CM93,IF(AE99&lt;AL94,CM94,IF(AE99&lt;AL95,CM95,IF(AE99&lt;AL96,CM96,IF(AE99&lt;AL97,CM97,CM98))))))</f>
        <v>0</v>
      </c>
      <c r="CN103" s="44" t="e">
        <f>IF(AF99&lt;AL92,CN92,IF(AF99&lt;AL93,CN93,IF(AF99&lt;AL94,CN94,IF(AF99&lt;AL95,CN95,IF(AF99&lt;AL96,CN96,IF(AF99&lt;AL97,CN97,CN98))))))</f>
        <v>#VALUE!</v>
      </c>
      <c r="CO103" s="44">
        <f>IF(AG99&lt;AL92,CO92,IF(AG99&lt;AL93,CO93,IF(AG99&lt;AL94,CO94,IF(AG99&lt;AL95,CO95,IF(AG99&lt;AL96,CO96,IF(AG99&lt;AL97,CO97,CO98))))))</f>
        <v>0</v>
      </c>
      <c r="CP103" s="44" t="e">
        <f>IF(AH99&lt;AL92,CP92,IF(AH99&lt;AL93,CP93,IF(AH99&lt;AL94,CP94,IF(AH99&lt;AL95,CP95,IF(AH99&lt;AL96,CP96,IF(AH99&lt;AL97,CP97,CP98))))))</f>
        <v>#REF!</v>
      </c>
      <c r="CQ103" s="44" t="e">
        <f>IF(AI99&lt;AL92,CQ92,IF(AI99&lt;AL93,CQ93,IF(AI99&lt;AL94,CQ94,IF(AI99&lt;AL95,CQ95,IF(AI99&lt;AL96,CQ96,IF(AI99&lt;AL97,CQ97,CQ98))))))</f>
        <v>#REF!</v>
      </c>
      <c r="CR103" s="13"/>
      <c r="CS103" s="13"/>
    </row>
    <row r="104" spans="2:116" hidden="1" x14ac:dyDescent="0.25">
      <c r="B104" s="140"/>
      <c r="C104" s="140"/>
      <c r="D104" s="140">
        <f>D103-D103*H20</f>
        <v>254067.7713100189</v>
      </c>
      <c r="E104">
        <v>16</v>
      </c>
      <c r="F104" s="140">
        <f>F103+F103*(G15+G16+G17-Q103-H20)</f>
        <v>469262.54521488969</v>
      </c>
      <c r="G104" s="140">
        <f>F104*G16</f>
        <v>9432.1771588192823</v>
      </c>
      <c r="H104" s="140">
        <f>F104*G17</f>
        <v>5631.1505425786763</v>
      </c>
      <c r="I104" s="140">
        <f>F104*G15</f>
        <v>23463.127260744484</v>
      </c>
      <c r="J104" s="140">
        <f>D104*G10</f>
        <v>15244.066278601133</v>
      </c>
      <c r="K104" s="117">
        <f>(G10*G6)/F104</f>
        <v>4.3983906686071252E-2</v>
      </c>
      <c r="L104" s="97">
        <f>(G104-C8-(G6*G7)+C7+H104)</f>
        <v>56021.087701397955</v>
      </c>
      <c r="M104" s="117">
        <f>IF(M87&lt;100,0,IF(L104&gt;M25,O26,IF(L104&gt;M24,O25,IF(L104&gt;M23,O24,IF(L104&gt;M22,O23,IF(L104&gt;M21,O22,IF(L104&gt;M20,O21,IF(L104&gt;M19,O20,IF(L104&gt;M18,O19,IF(L104&gt;M17,O18,IF(L104&gt;M16,O17,O16)))))))))))</f>
        <v>6.3899999999999998E-2</v>
      </c>
      <c r="N104" s="117">
        <f t="shared" si="124"/>
        <v>1.2843900000000001E-3</v>
      </c>
      <c r="O104" s="117">
        <f>(IF(L104&gt;M25,N26,IF(L104&gt;M24,N25,IF(L104&gt;M23,N24,IF(L104&gt;M22,N23,IF(L104&gt;M21,N22,IF(L104&gt;M20,N21,IF(L104&gt;M19,N20,IF(L104&gt;M18,N19,IF(L104&gt;M17,N18,IF(L104&gt;M16,N17,N16))))))))))*H104)/F104</f>
        <v>3.5579999999999995E-3</v>
      </c>
      <c r="P104" s="117">
        <f t="shared" si="125"/>
        <v>4.8423899999999994E-3</v>
      </c>
      <c r="Q104" s="261">
        <f t="shared" si="120"/>
        <v>4.8826296686071254E-2</v>
      </c>
      <c r="R104" s="3" t="s">
        <v>53</v>
      </c>
      <c r="S104" s="72">
        <f t="shared" ref="S104:AI104" si="154">IF(S100+S101+S102-CV92-CV93&lt;0,0,S100+S101+S102-CV92-CV93)</f>
        <v>9295.3825000000015</v>
      </c>
      <c r="T104" s="72">
        <f t="shared" si="154"/>
        <v>79173.862500000003</v>
      </c>
      <c r="U104" s="72">
        <f t="shared" si="154"/>
        <v>8651.2493800000029</v>
      </c>
      <c r="V104" s="72">
        <f t="shared" si="154"/>
        <v>83088.926500000001</v>
      </c>
      <c r="W104" s="72">
        <f t="shared" si="154"/>
        <v>10333.285540000001</v>
      </c>
      <c r="X104" s="72">
        <f t="shared" si="154"/>
        <v>81202.831260000006</v>
      </c>
      <c r="Y104" s="72">
        <f t="shared" si="154"/>
        <v>83231.80002000001</v>
      </c>
      <c r="Z104" s="72">
        <f t="shared" si="154"/>
        <v>17252.557499999999</v>
      </c>
      <c r="AA104" s="72">
        <f t="shared" si="154"/>
        <v>7372.3375494208531</v>
      </c>
      <c r="AB104" s="72">
        <f t="shared" si="154"/>
        <v>17252.557499999999</v>
      </c>
      <c r="AC104" s="72">
        <f t="shared" si="154"/>
        <v>6727.7624999999998</v>
      </c>
      <c r="AD104" s="72">
        <f t="shared" si="154"/>
        <v>18322.373611188308</v>
      </c>
      <c r="AE104" s="72">
        <f t="shared" si="154"/>
        <v>6727.7624999999998</v>
      </c>
      <c r="AF104" s="72" t="e">
        <f t="shared" si="154"/>
        <v>#VALUE!</v>
      </c>
      <c r="AG104" s="72">
        <f t="shared" si="154"/>
        <v>215948.26250000001</v>
      </c>
      <c r="AH104" s="72" t="e">
        <f t="shared" si="154"/>
        <v>#REF!</v>
      </c>
      <c r="AI104" s="72" t="e">
        <f t="shared" si="154"/>
        <v>#REF!</v>
      </c>
      <c r="AJ104" s="130">
        <f>IF((T104-S104-2250)&lt;26010,(T104-S104-2250),26010)</f>
        <v>26010</v>
      </c>
    </row>
    <row r="105" spans="2:116" s="2" customFormat="1" ht="15" hidden="1" customHeight="1" x14ac:dyDescent="0.25">
      <c r="B105" s="80"/>
      <c r="C105" s="80"/>
      <c r="D105" s="80">
        <f>D104-D104*H20</f>
        <v>248986.41588381852</v>
      </c>
      <c r="E105" s="2">
        <v>17</v>
      </c>
      <c r="F105" s="80">
        <f>F104+F104*(G15+G16+G17-Q104-H20)</f>
        <v>475491.39701641118</v>
      </c>
      <c r="G105" s="80">
        <f>F105*G16</f>
        <v>9557.3770800298644</v>
      </c>
      <c r="H105" s="80">
        <f>F105*G17</f>
        <v>5705.8967641969339</v>
      </c>
      <c r="I105" s="80">
        <f>F105*G15</f>
        <v>23774.569850820561</v>
      </c>
      <c r="J105" s="80">
        <f>D105*G10</f>
        <v>14939.184953029111</v>
      </c>
      <c r="K105" s="236">
        <f>(G10*G6)/F105</f>
        <v>4.3407725417348879E-2</v>
      </c>
      <c r="L105" s="72">
        <f>(G105-C8-(G6*G7)+C7+H105)</f>
        <v>56221.033844226797</v>
      </c>
      <c r="M105" s="236">
        <f>IF(M87&lt;100,0,IF(L105&gt;M25,O26,IF(L105&gt;M24,O25,IF(L105&gt;M23,O24,IF(L105&gt;M22,O23,IF(L105&gt;M21,O22,IF(L105&gt;M20,O21,IF(L105&gt;M19,O20,IF(L105&gt;M18,O19,IF(L105&gt;M17,O18,IF(L105&gt;M16,O17,O16)))))))))))</f>
        <v>6.3899999999999998E-2</v>
      </c>
      <c r="N105" s="236">
        <f t="shared" si="124"/>
        <v>1.2843900000000001E-3</v>
      </c>
      <c r="O105" s="236">
        <f>(IF(L105&gt;M25,N26,IF(L105&gt;M24,N25,IF(L105&gt;M23,N24,IF(L105&gt;M22,N23,IF(L105&gt;M21,N22,IF(L105&gt;M20,N21,IF(L105&gt;M19,N20,IF(L105&gt;M18,N19,IF(L105&gt;M17,N18,IF(L105&gt;M16,N17,N16))))))))))*H105)/F105</f>
        <v>3.5579999999999995E-3</v>
      </c>
      <c r="P105" s="117">
        <f t="shared" si="125"/>
        <v>4.8423899999999994E-3</v>
      </c>
      <c r="Q105" s="261">
        <f t="shared" si="120"/>
        <v>4.8250115417348881E-2</v>
      </c>
      <c r="R105" s="7" t="s">
        <v>84</v>
      </c>
      <c r="S105" s="2" t="s">
        <v>55</v>
      </c>
      <c r="T105" s="2" t="s">
        <v>56</v>
      </c>
      <c r="U105" s="2" t="s">
        <v>55</v>
      </c>
      <c r="V105" s="2" t="s">
        <v>56</v>
      </c>
      <c r="W105" s="2" t="s">
        <v>55</v>
      </c>
      <c r="X105" s="2" t="s">
        <v>56</v>
      </c>
      <c r="Y105" s="2" t="s">
        <v>56</v>
      </c>
      <c r="Z105" s="2" t="s">
        <v>56</v>
      </c>
      <c r="AA105" s="2" t="s">
        <v>56</v>
      </c>
      <c r="AB105" s="2" t="s">
        <v>56</v>
      </c>
      <c r="AC105" s="2" t="s">
        <v>56</v>
      </c>
      <c r="AD105" s="2" t="s">
        <v>56</v>
      </c>
      <c r="AE105" s="2" t="s">
        <v>56</v>
      </c>
      <c r="AF105" s="2" t="s">
        <v>56</v>
      </c>
      <c r="AG105" s="2" t="s">
        <v>56</v>
      </c>
      <c r="AH105" s="2" t="s">
        <v>56</v>
      </c>
      <c r="AI105" s="2" t="s">
        <v>56</v>
      </c>
      <c r="AK105" s="91" t="s">
        <v>85</v>
      </c>
      <c r="AL105" s="92"/>
      <c r="AM105" s="93" t="s">
        <v>6</v>
      </c>
      <c r="AN105" s="91"/>
      <c r="AO105" s="91"/>
      <c r="AQ105" s="94"/>
      <c r="AT105" s="94"/>
      <c r="AU105" s="94"/>
      <c r="AV105" s="94"/>
      <c r="AW105" s="94"/>
      <c r="AX105" s="94"/>
      <c r="AY105" s="94"/>
      <c r="AZ105" s="94"/>
      <c r="BA105" s="94"/>
      <c r="BB105" s="94"/>
      <c r="BC105" s="94"/>
      <c r="BD105" s="94"/>
      <c r="BE105" s="94"/>
      <c r="BF105" s="94"/>
      <c r="BG105" s="94"/>
      <c r="BH105" s="94"/>
      <c r="BI105" s="94"/>
      <c r="BJ105" s="94" t="s">
        <v>9</v>
      </c>
      <c r="BK105" s="94"/>
      <c r="BL105" s="94"/>
      <c r="BM105" s="94"/>
      <c r="BN105" s="94"/>
      <c r="BO105" s="94"/>
      <c r="BP105" s="94"/>
      <c r="BQ105" s="94"/>
      <c r="BR105" s="94"/>
      <c r="BS105" s="94"/>
      <c r="BT105" s="94"/>
      <c r="BU105" s="94"/>
      <c r="BV105" s="94"/>
      <c r="BW105" s="94"/>
      <c r="BX105" s="94"/>
      <c r="BY105" s="94"/>
      <c r="BZ105" s="94"/>
      <c r="CA105" s="94" t="s">
        <v>58</v>
      </c>
      <c r="CB105" s="94"/>
      <c r="CC105" s="94"/>
      <c r="CD105" s="94"/>
      <c r="CE105" s="94"/>
      <c r="CF105" s="94"/>
      <c r="CG105" s="94"/>
      <c r="CH105" s="94"/>
      <c r="CI105" s="94"/>
      <c r="CJ105" s="94"/>
      <c r="CK105" s="94"/>
      <c r="CL105" s="94"/>
      <c r="CM105" s="94"/>
      <c r="CN105" s="94"/>
      <c r="CO105" s="94"/>
      <c r="CP105" s="94"/>
      <c r="CQ105" s="94"/>
    </row>
    <row r="106" spans="2:116" ht="15.75" hidden="1" x14ac:dyDescent="0.25">
      <c r="B106" s="140"/>
      <c r="C106" s="140"/>
      <c r="D106" s="140">
        <f>D105-D105*H20</f>
        <v>244006.68756614215</v>
      </c>
      <c r="E106">
        <v>18</v>
      </c>
      <c r="F106" s="140">
        <f>F105+F105*(G15+G16+G17-Q105-H20)</f>
        <v>482076.897985132</v>
      </c>
      <c r="G106" s="140">
        <f>F106*G16</f>
        <v>9689.7456495011538</v>
      </c>
      <c r="H106" s="140">
        <f>F106*G17</f>
        <v>5784.9227758215839</v>
      </c>
      <c r="I106" s="140">
        <f>F106*G15</f>
        <v>24103.844899256601</v>
      </c>
      <c r="J106" s="140">
        <f>D106*G10</f>
        <v>14640.401253968528</v>
      </c>
      <c r="K106" s="117">
        <f>(G10*G6)/F106</f>
        <v>4.2814746125081002E-2</v>
      </c>
      <c r="L106" s="97">
        <f>(G106-C8-(G6*G7)+C7+H106)</f>
        <v>56432.428425322738</v>
      </c>
      <c r="M106" s="117">
        <f>IF(M87&lt;100,0,IF(L106&gt;M25,O26,IF(L106&gt;M24,O25,IF(L106&gt;M23,O24,IF(L106&gt;M22,O23,IF(L106&gt;M21,O22,IF(L106&gt;M20,O21,IF(L106&gt;M19,O20,IF(L106&gt;M18,O19,IF(L106&gt;M17,O18,IF(L106&gt;M16,O17,O16)))))))))))</f>
        <v>6.3899999999999998E-2</v>
      </c>
      <c r="N106" s="117">
        <f t="shared" si="124"/>
        <v>1.2843900000000001E-3</v>
      </c>
      <c r="O106" s="117">
        <f>(IF(L106&gt;M25,N26,IF(L106&gt;M24,N25,IF(L106&gt;M23,N24,IF(L106&gt;M22,N23,IF(L106&gt;M21,N22,IF(L106&gt;M20,N21,IF(L106&gt;M19,N20,IF(L106&gt;M18,N19,IF(L106&gt;M17,N18,IF(L106&gt;M16,N17,N16))))))))))*H106)/F106</f>
        <v>3.5579999999999995E-3</v>
      </c>
      <c r="P106" s="117">
        <f t="shared" si="125"/>
        <v>4.8423899999999994E-3</v>
      </c>
      <c r="Q106" s="261">
        <f t="shared" si="120"/>
        <v>4.7657136125081004E-2</v>
      </c>
      <c r="R106" s="3" t="s">
        <v>11</v>
      </c>
      <c r="S106" s="97">
        <f t="shared" ref="S106:Z109" si="155">S89</f>
        <v>60000</v>
      </c>
      <c r="T106" s="97">
        <f t="shared" si="155"/>
        <v>250000</v>
      </c>
      <c r="U106" s="97">
        <f t="shared" si="155"/>
        <v>55885.760000000002</v>
      </c>
      <c r="V106" s="97">
        <f t="shared" si="155"/>
        <v>258242.24</v>
      </c>
      <c r="W106" s="97">
        <f t="shared" si="155"/>
        <v>62064</v>
      </c>
      <c r="X106" s="97">
        <f t="shared" si="155"/>
        <v>252064</v>
      </c>
      <c r="Y106" s="97">
        <f t="shared" si="155"/>
        <v>254128</v>
      </c>
      <c r="Z106" s="97">
        <f t="shared" si="155"/>
        <v>0</v>
      </c>
      <c r="AA106" s="97">
        <f t="shared" ref="AA106:AH109" si="156">AA89</f>
        <v>0</v>
      </c>
      <c r="AB106" s="97">
        <f t="shared" si="156"/>
        <v>0</v>
      </c>
      <c r="AC106" s="97">
        <f t="shared" si="156"/>
        <v>0</v>
      </c>
      <c r="AD106" s="97">
        <f t="shared" si="156"/>
        <v>0</v>
      </c>
      <c r="AE106" s="97">
        <f t="shared" si="156"/>
        <v>0</v>
      </c>
      <c r="AF106" s="97">
        <f t="shared" si="156"/>
        <v>0</v>
      </c>
      <c r="AG106" s="97">
        <f t="shared" si="156"/>
        <v>250000</v>
      </c>
      <c r="AH106" s="97">
        <f t="shared" si="156"/>
        <v>0</v>
      </c>
      <c r="AI106" s="97">
        <f t="shared" ref="AI106" si="157">AI89</f>
        <v>0</v>
      </c>
      <c r="AJ106" s="196">
        <f>W120+X120</f>
        <v>3848.1422400000083</v>
      </c>
      <c r="AK106" s="9"/>
      <c r="AL106" s="10"/>
      <c r="AM106" s="98"/>
      <c r="AN106" s="9" t="s">
        <v>7</v>
      </c>
      <c r="AO106" s="9" t="s">
        <v>86</v>
      </c>
      <c r="AP106" s="99"/>
      <c r="AQ106" s="100" t="s">
        <v>12</v>
      </c>
      <c r="AR106" s="100"/>
      <c r="AS106" s="101" t="s">
        <v>55</v>
      </c>
      <c r="AT106" t="s">
        <v>56</v>
      </c>
      <c r="BJ106" s="16" t="s">
        <v>16</v>
      </c>
      <c r="BK106" s="16"/>
      <c r="BL106" s="16"/>
      <c r="BM106" s="16"/>
      <c r="BN106" s="16"/>
      <c r="BO106" s="16"/>
      <c r="BP106" s="16"/>
      <c r="BQ106" s="16"/>
      <c r="BR106" s="16"/>
      <c r="BS106" s="16"/>
      <c r="BT106" s="16"/>
      <c r="BU106" s="16"/>
      <c r="BV106" s="16"/>
      <c r="BW106" s="16"/>
      <c r="BX106" s="16"/>
      <c r="BY106" s="16"/>
      <c r="BZ106" s="16"/>
      <c r="CA106" t="s">
        <v>16</v>
      </c>
      <c r="CR106" t="s">
        <v>17</v>
      </c>
      <c r="CT106" s="100"/>
      <c r="CU106" s="100"/>
      <c r="CV106" s="100"/>
      <c r="CW106" s="100"/>
    </row>
    <row r="107" spans="2:116" ht="15.75" hidden="1" x14ac:dyDescent="0.25">
      <c r="B107" s="140"/>
      <c r="C107" s="140"/>
      <c r="D107" s="140">
        <f>D106-D106*H20</f>
        <v>239126.55381481932</v>
      </c>
      <c r="E107">
        <v>19</v>
      </c>
      <c r="F107" s="140">
        <f>F106+F106*(G15+G16+G17-Q106-H20)</f>
        <v>489039.46899997449</v>
      </c>
      <c r="G107" s="140">
        <f>F107*G16</f>
        <v>9829.6933268994871</v>
      </c>
      <c r="H107" s="140">
        <f>F107*G17</f>
        <v>5868.4736279996941</v>
      </c>
      <c r="I107" s="140">
        <f>F107*G15</f>
        <v>24451.973449998724</v>
      </c>
      <c r="J107" s="140">
        <f>D107*G10</f>
        <v>14347.593228889158</v>
      </c>
      <c r="K107" s="117">
        <f>(G10*G6)/F107</f>
        <v>4.220518242056466E-2</v>
      </c>
      <c r="L107" s="97">
        <f>(G107-C8-(G6*G7)+C7+H107)</f>
        <v>56655.92695489918</v>
      </c>
      <c r="M107" s="117">
        <f>IF(M87&lt;100,0,IF(L107&gt;M25,O26,IF(L107&gt;M24,O25,IF(L107&gt;M23,O24,IF(L107&gt;M22,O23,IF(L107&gt;M21,O22,IF(L107&gt;M20,O21,IF(L107&gt;M19,O20,IF(L107&gt;M18,O19,IF(L107&gt;M17,O18,IF(L107&gt;M16,O17,O16)))))))))))</f>
        <v>6.3899999999999998E-2</v>
      </c>
      <c r="N107" s="117">
        <f t="shared" si="124"/>
        <v>1.2843900000000001E-3</v>
      </c>
      <c r="O107" s="117">
        <f>(IF(L107&gt;M25,N26,IF(L107&gt;M24,N25,IF(L107&gt;M23,N24,IF(L107&gt;M22,N23,IF(L107&gt;M21,N22,IF(L107&gt;M20,N21,IF(L107&gt;M19,N20,IF(L107&gt;M18,N19,IF(L107&gt;M17,N18,IF(L107&gt;M16,N17,N16))))))))))*H107)/F107</f>
        <v>3.558E-3</v>
      </c>
      <c r="P107" s="117">
        <f t="shared" si="125"/>
        <v>4.8423900000000002E-3</v>
      </c>
      <c r="Q107" s="261">
        <f t="shared" si="120"/>
        <v>4.7047572420564662E-2</v>
      </c>
      <c r="R107" s="3" t="s">
        <v>18</v>
      </c>
      <c r="S107" s="97">
        <f t="shared" si="155"/>
        <v>10800</v>
      </c>
      <c r="T107" s="97">
        <f t="shared" si="155"/>
        <v>26010</v>
      </c>
      <c r="U107" s="97">
        <f t="shared" si="155"/>
        <v>10800</v>
      </c>
      <c r="V107" s="97">
        <f t="shared" si="155"/>
        <v>26010</v>
      </c>
      <c r="W107" s="97">
        <f t="shared" si="155"/>
        <v>10800</v>
      </c>
      <c r="X107" s="97">
        <f t="shared" si="155"/>
        <v>26010</v>
      </c>
      <c r="Y107" s="97">
        <f t="shared" si="155"/>
        <v>26010</v>
      </c>
      <c r="Z107" s="97">
        <f t="shared" si="155"/>
        <v>0</v>
      </c>
      <c r="AA107" s="97">
        <f t="shared" si="156"/>
        <v>-40000</v>
      </c>
      <c r="AB107" s="97">
        <f t="shared" si="156"/>
        <v>0</v>
      </c>
      <c r="AC107" s="97">
        <f t="shared" si="156"/>
        <v>-40000</v>
      </c>
      <c r="AD107" s="97">
        <f t="shared" si="156"/>
        <v>0</v>
      </c>
      <c r="AE107" s="97">
        <f t="shared" si="156"/>
        <v>-40000</v>
      </c>
      <c r="AF107" s="97">
        <f t="shared" si="156"/>
        <v>-40000</v>
      </c>
      <c r="AG107" s="97">
        <f t="shared" si="156"/>
        <v>26010</v>
      </c>
      <c r="AH107" s="97">
        <f t="shared" si="156"/>
        <v>0</v>
      </c>
      <c r="AI107" s="97">
        <f t="shared" ref="AI107" si="158">AI90</f>
        <v>-40000</v>
      </c>
      <c r="AK107" s="102"/>
      <c r="AL107" s="103"/>
      <c r="AM107" s="104"/>
      <c r="AN107" s="9"/>
      <c r="AO107" s="9"/>
      <c r="AP107" s="100" t="s">
        <v>19</v>
      </c>
      <c r="AQ107" s="100" t="s">
        <v>20</v>
      </c>
      <c r="AR107" s="105" t="s">
        <v>21</v>
      </c>
      <c r="AS107" s="106" t="s">
        <v>22</v>
      </c>
      <c r="BJ107" s="16" t="s">
        <v>23</v>
      </c>
      <c r="BK107" s="16"/>
      <c r="BL107" s="16"/>
      <c r="BM107" s="16"/>
      <c r="BN107" s="16"/>
      <c r="BO107" s="16"/>
      <c r="BP107" s="16"/>
      <c r="BQ107" s="16"/>
      <c r="BR107" s="16"/>
      <c r="BS107" s="16"/>
      <c r="BT107" s="16"/>
      <c r="BU107" s="16"/>
      <c r="BV107" s="16"/>
      <c r="BW107" s="16"/>
      <c r="BX107" s="16"/>
      <c r="BY107" s="16"/>
      <c r="BZ107" s="16"/>
      <c r="CA107" t="s">
        <v>22</v>
      </c>
    </row>
    <row r="108" spans="2:116" ht="15.75" hidden="1" x14ac:dyDescent="0.25">
      <c r="B108" s="140"/>
      <c r="C108" s="140"/>
      <c r="D108" s="140">
        <f>D107-D107*H20</f>
        <v>234344.02273852294</v>
      </c>
      <c r="E108">
        <v>20</v>
      </c>
      <c r="F108" s="140">
        <f>F107+F107*(G15+G16+G17-Q107-H20)</f>
        <v>496400.70019058214</v>
      </c>
      <c r="G108" s="140">
        <f>F108*G16</f>
        <v>9977.6540738307012</v>
      </c>
      <c r="H108" s="140">
        <f>F108*G17</f>
        <v>5956.8084022869862</v>
      </c>
      <c r="I108" s="140">
        <f>F108*G15</f>
        <v>24820.035009529107</v>
      </c>
      <c r="J108" s="140">
        <f>D108*G10</f>
        <v>14060.641364311376</v>
      </c>
      <c r="K108" s="117">
        <f>(G10*G6)/F108</f>
        <v>4.1579312825456786E-2</v>
      </c>
      <c r="L108" s="97">
        <f>(G108-C8-(G6*G7)+C7+H108)</f>
        <v>56892.222476117691</v>
      </c>
      <c r="M108" s="117">
        <f>IF(M87&lt;100,0,IF(L108&gt;M25,O26,IF(L108&gt;M24,O25,IF(L108&gt;M23,O24,IF(L108&gt;M22,O23,IF(L108&gt;M21,O22,IF(L108&gt;M20,O21,IF(L108&gt;M19,O20,IF(L108&gt;M18,O19,IF(L108&gt;M17,O18,IF(L108&gt;M16,O17,O16)))))))))))</f>
        <v>6.3899999999999998E-2</v>
      </c>
      <c r="N108" s="117">
        <f t="shared" si="124"/>
        <v>1.2843899999999998E-3</v>
      </c>
      <c r="O108" s="117">
        <f>(IF(L108&gt;M25,N26,IF(L108&gt;M24,N25,IF(L108&gt;M23,N24,IF(L108&gt;M22,N23,IF(L108&gt;M21,N22,IF(L108&gt;M20,N21,IF(L108&gt;M19,N20,IF(L108&gt;M18,N19,IF(L108&gt;M17,N18,IF(L108&gt;M16,N17,N16))))))))))*H108)/F108</f>
        <v>3.5580000000000004E-3</v>
      </c>
      <c r="P108" s="117">
        <f t="shared" si="125"/>
        <v>4.8423900000000002E-3</v>
      </c>
      <c r="Q108" s="261">
        <f t="shared" si="120"/>
        <v>4.6421702825456788E-2</v>
      </c>
      <c r="R108" s="3"/>
      <c r="S108" s="97">
        <f t="shared" si="155"/>
        <v>0</v>
      </c>
      <c r="T108" s="97">
        <f t="shared" si="155"/>
        <v>0</v>
      </c>
      <c r="U108" s="97">
        <f t="shared" si="155"/>
        <v>0</v>
      </c>
      <c r="V108" s="97">
        <f t="shared" si="155"/>
        <v>0</v>
      </c>
      <c r="W108" s="97">
        <f t="shared" si="155"/>
        <v>0</v>
      </c>
      <c r="X108" s="97">
        <f t="shared" si="155"/>
        <v>0</v>
      </c>
      <c r="Y108" s="97">
        <f t="shared" si="155"/>
        <v>0</v>
      </c>
      <c r="Z108" s="97">
        <f t="shared" si="155"/>
        <v>0</v>
      </c>
      <c r="AA108" s="97">
        <f t="shared" si="156"/>
        <v>0</v>
      </c>
      <c r="AB108" s="97">
        <f t="shared" si="156"/>
        <v>0</v>
      </c>
      <c r="AC108" s="97">
        <f t="shared" si="156"/>
        <v>0</v>
      </c>
      <c r="AD108" s="97">
        <f t="shared" si="156"/>
        <v>0</v>
      </c>
      <c r="AE108" s="97">
        <f t="shared" si="156"/>
        <v>0</v>
      </c>
      <c r="AF108" s="97">
        <f t="shared" si="156"/>
        <v>0</v>
      </c>
      <c r="AG108" s="97">
        <f t="shared" si="156"/>
        <v>0</v>
      </c>
      <c r="AH108" s="97">
        <f t="shared" si="156"/>
        <v>0</v>
      </c>
      <c r="AI108" s="97">
        <f t="shared" ref="AI108" si="159">AI91</f>
        <v>0</v>
      </c>
      <c r="AK108" s="102"/>
      <c r="AL108" s="103"/>
      <c r="AM108" s="108"/>
      <c r="AN108" s="9"/>
      <c r="AO108" s="9"/>
      <c r="AP108" s="100"/>
      <c r="AQ108" s="100"/>
      <c r="AR108" s="105"/>
      <c r="AS108" s="106"/>
      <c r="BJ108" s="16"/>
      <c r="BK108" s="16"/>
      <c r="BL108" s="16"/>
      <c r="BM108" s="16"/>
      <c r="BN108" s="16"/>
      <c r="BO108" s="16"/>
      <c r="BP108" s="16"/>
      <c r="BQ108" s="16"/>
      <c r="BR108" s="16"/>
      <c r="BS108" s="16"/>
      <c r="BT108" s="16"/>
      <c r="BU108" s="16"/>
      <c r="BV108" s="16"/>
      <c r="BW108" s="16"/>
      <c r="BX108" s="16"/>
      <c r="BY108" s="16"/>
      <c r="BZ108" s="16"/>
      <c r="CS108" t="s">
        <v>25</v>
      </c>
      <c r="CT108" t="s">
        <v>26</v>
      </c>
      <c r="CU108" t="s">
        <v>27</v>
      </c>
      <c r="CV108" s="16" t="s">
        <v>28</v>
      </c>
      <c r="CW108" s="16" t="s">
        <v>61</v>
      </c>
      <c r="CX108" s="16" t="s">
        <v>62</v>
      </c>
      <c r="CY108" s="16" t="s">
        <v>63</v>
      </c>
      <c r="CZ108" s="16" t="s">
        <v>64</v>
      </c>
      <c r="DA108" s="16" t="s">
        <v>65</v>
      </c>
      <c r="DB108" s="16" t="s">
        <v>3</v>
      </c>
      <c r="DC108" s="16" t="s">
        <v>4</v>
      </c>
      <c r="DD108" s="16" t="s">
        <v>13</v>
      </c>
      <c r="DE108" s="4" t="s">
        <v>170</v>
      </c>
      <c r="DF108" s="4" t="s">
        <v>171</v>
      </c>
      <c r="DG108" s="4" t="s">
        <v>172</v>
      </c>
      <c r="DH108" s="4" t="s">
        <v>174</v>
      </c>
      <c r="DI108" s="4" t="s">
        <v>176</v>
      </c>
      <c r="DJ108" s="4" t="s">
        <v>192</v>
      </c>
      <c r="DK108" s="4" t="s">
        <v>196</v>
      </c>
      <c r="DL108" s="4" t="s">
        <v>198</v>
      </c>
    </row>
    <row r="109" spans="2:116" ht="15.75" hidden="1" x14ac:dyDescent="0.25">
      <c r="D109" s="140">
        <f>D108-D108*H20</f>
        <v>229657.14228375247</v>
      </c>
      <c r="E109">
        <v>21</v>
      </c>
      <c r="F109" s="140">
        <f>F108+F108*(G15+G16+G17-Q108-H20)</f>
        <v>504183.41788582143</v>
      </c>
      <c r="G109" s="140">
        <f>F109*G16</f>
        <v>10134.086699505011</v>
      </c>
      <c r="H109" s="140">
        <f>F109*G17</f>
        <v>6050.2010146298571</v>
      </c>
      <c r="I109" s="140">
        <f>F109*G15</f>
        <v>25209.170894291074</v>
      </c>
      <c r="J109" s="140">
        <f>D109*G11</f>
        <v>13779.428537025147</v>
      </c>
      <c r="K109" s="117">
        <f>(G11*G6)/F109</f>
        <v>4.0937482804470543E-2</v>
      </c>
      <c r="L109" s="97">
        <f>(G109-C8-(G6*G7)+C7+H109)</f>
        <v>57142.047714134867</v>
      </c>
      <c r="M109" s="117">
        <f>IF(M87&lt;100,0,IF(L109&gt;M25,O26,IF(L109&gt;M24,O25,IF(L109&gt;M23,O24,IF(L109&gt;M22,O23,IF(L109&gt;M21,O22,IF(L109&gt;M20,O21,IF(L109&gt;M19,O20,IF(L109&gt;M18,O19,IF(L109&gt;M17,O18,IF(L109&gt;M16,O17,O16)))))))))))</f>
        <v>6.3899999999999998E-2</v>
      </c>
      <c r="N109" s="117">
        <f t="shared" si="124"/>
        <v>1.2843900000000001E-3</v>
      </c>
      <c r="O109" s="117">
        <f>(IF(L109&gt;M25,N26,IF(L109&gt;M24,N25,IF(L109&gt;M23,N24,IF(L109&gt;M22,N23,IF(L109&gt;M21,N22,IF(L109&gt;M20,N21,IF(L109&gt;M19,N20,IF(L109&gt;M18,N19,IF(L109&gt;M17,N18,IF(L109&gt;M16,N17,N16))))))))))*H109)/F109</f>
        <v>3.5579999999999995E-3</v>
      </c>
      <c r="P109" s="117">
        <f t="shared" si="125"/>
        <v>4.8423899999999994E-3</v>
      </c>
      <c r="Q109" s="261">
        <f t="shared" si="120"/>
        <v>4.5779872804470545E-2</v>
      </c>
      <c r="R109" s="3" t="s">
        <v>31</v>
      </c>
      <c r="S109" s="97">
        <f t="shared" si="155"/>
        <v>0</v>
      </c>
      <c r="T109" s="97">
        <f t="shared" si="155"/>
        <v>0</v>
      </c>
      <c r="U109" s="97">
        <f t="shared" si="155"/>
        <v>0</v>
      </c>
      <c r="V109" s="97">
        <f t="shared" si="155"/>
        <v>0</v>
      </c>
      <c r="W109" s="97">
        <f t="shared" si="155"/>
        <v>0</v>
      </c>
      <c r="X109" s="97">
        <f t="shared" si="155"/>
        <v>0</v>
      </c>
      <c r="Y109" s="97">
        <f t="shared" si="155"/>
        <v>0</v>
      </c>
      <c r="Z109" s="97">
        <f t="shared" si="155"/>
        <v>100000</v>
      </c>
      <c r="AA109" s="97">
        <f t="shared" si="156"/>
        <v>0</v>
      </c>
      <c r="AB109" s="97">
        <f t="shared" si="156"/>
        <v>100000</v>
      </c>
      <c r="AC109" s="97">
        <f t="shared" si="156"/>
        <v>0</v>
      </c>
      <c r="AD109" s="97">
        <f t="shared" si="156"/>
        <v>100000</v>
      </c>
      <c r="AE109" s="97">
        <f t="shared" si="156"/>
        <v>0</v>
      </c>
      <c r="AF109" s="97">
        <f t="shared" si="156"/>
        <v>0</v>
      </c>
      <c r="AG109" s="97">
        <f t="shared" si="156"/>
        <v>344000</v>
      </c>
      <c r="AH109" s="97" t="e">
        <f t="shared" si="156"/>
        <v>#REF!</v>
      </c>
      <c r="AI109" s="97" t="e">
        <f t="shared" ref="AI109" si="160">AI92</f>
        <v>#REF!</v>
      </c>
      <c r="AK109" s="110">
        <v>0</v>
      </c>
      <c r="AL109" s="110">
        <v>43055</v>
      </c>
      <c r="AM109" s="111">
        <v>0.27529999999999999</v>
      </c>
      <c r="AN109" s="113">
        <v>4.2599999999999999E-2</v>
      </c>
      <c r="AO109" s="113">
        <v>0.1404</v>
      </c>
      <c r="AP109" s="13">
        <f t="shared" ref="AP109:AP115" si="161">AL109-AK109</f>
        <v>43055</v>
      </c>
      <c r="AQ109" s="13">
        <f t="shared" ref="AQ109:AQ115" si="162">AP109*AM109</f>
        <v>11853.041499999999</v>
      </c>
      <c r="AR109" s="97">
        <f>AQ109</f>
        <v>11853.041499999999</v>
      </c>
      <c r="AS109" s="114">
        <f>S115*AM109</f>
        <v>13544.76</v>
      </c>
      <c r="AT109" s="114">
        <f>T115*AM109</f>
        <v>61664.447</v>
      </c>
      <c r="AU109" s="115">
        <f>U115*AM109</f>
        <v>12412.109727999999</v>
      </c>
      <c r="AV109" s="115">
        <f>V115*AM109</f>
        <v>63933.535671999998</v>
      </c>
      <c r="AW109" s="115">
        <f>W115*AM109</f>
        <v>14112.9792</v>
      </c>
      <c r="AX109" s="43">
        <f>X115*AM109</f>
        <v>62232.6662</v>
      </c>
      <c r="AY109" s="115">
        <f>Y115*AM109</f>
        <v>62800.885399999999</v>
      </c>
      <c r="AZ109" s="115">
        <f>Z115*AM109</f>
        <v>0</v>
      </c>
      <c r="BA109" s="115">
        <f>AA115*AM109</f>
        <v>11081.459982788241</v>
      </c>
      <c r="BB109" s="43">
        <f>AB115*AM109</f>
        <v>0</v>
      </c>
      <c r="BC109" s="43">
        <f>AC115*AM109</f>
        <v>11012</v>
      </c>
      <c r="BD109" s="43">
        <f>AD115*AM109</f>
        <v>394.37650697662207</v>
      </c>
      <c r="BE109" s="43">
        <f>AE115*AM109</f>
        <v>11012</v>
      </c>
      <c r="BF109" s="43" t="e">
        <f>AF115*AM109</f>
        <v>#VALUE!</v>
      </c>
      <c r="BG109" s="43">
        <f>AG115*AM109</f>
        <v>61664.447</v>
      </c>
      <c r="BH109" s="43">
        <f>AH115*AM109</f>
        <v>0</v>
      </c>
      <c r="BI109" s="43">
        <f>AI115*AM109</f>
        <v>11012</v>
      </c>
      <c r="BJ109" s="115">
        <f>S109*AO109</f>
        <v>0</v>
      </c>
      <c r="BK109" s="147">
        <f>T109*AO109</f>
        <v>0</v>
      </c>
      <c r="BL109" s="115">
        <f>U109*AO109</f>
        <v>0</v>
      </c>
      <c r="BM109" s="115">
        <f>V109*AO109</f>
        <v>0</v>
      </c>
      <c r="BN109" s="115">
        <f>W109*AO109</f>
        <v>0</v>
      </c>
      <c r="BO109" s="115">
        <f>X109*AO109</f>
        <v>0</v>
      </c>
      <c r="BP109" s="43">
        <f>Y109*AO109</f>
        <v>0</v>
      </c>
      <c r="BQ109" s="43">
        <f>Z109*AO109</f>
        <v>14040</v>
      </c>
      <c r="BR109" s="43">
        <f>AA109*AO109</f>
        <v>0</v>
      </c>
      <c r="BS109" s="43">
        <f>AB109*AO109</f>
        <v>14040</v>
      </c>
      <c r="BT109" s="43">
        <f>AC109*AO109</f>
        <v>0</v>
      </c>
      <c r="BU109" s="43">
        <f>AD109*AO109</f>
        <v>14040</v>
      </c>
      <c r="BV109" s="43">
        <f>AE109*AO109</f>
        <v>0</v>
      </c>
      <c r="BW109" s="43">
        <f>AF109*AO109</f>
        <v>0</v>
      </c>
      <c r="BX109" s="43">
        <f>AG109*AO109</f>
        <v>48297.599999999999</v>
      </c>
      <c r="BY109" s="43" t="e">
        <f>AH109*AO109</f>
        <v>#REF!</v>
      </c>
      <c r="BZ109" s="43" t="e">
        <f>AI109*AO109</f>
        <v>#REF!</v>
      </c>
      <c r="CA109" s="44">
        <f>AN109*S111</f>
        <v>0</v>
      </c>
      <c r="CB109" s="44">
        <f>AN109*T111</f>
        <v>0</v>
      </c>
      <c r="CC109" s="44">
        <f>AN109*U111</f>
        <v>294.55343999999997</v>
      </c>
      <c r="CD109" s="44">
        <f>AN109*V111</f>
        <v>0</v>
      </c>
      <c r="CE109" s="44">
        <f>AN109*W111</f>
        <v>147.27671999999998</v>
      </c>
      <c r="CF109" s="44">
        <f>AN109*X111</f>
        <v>147.27671999999998</v>
      </c>
      <c r="CG109" s="44">
        <f>AN109*Y111</f>
        <v>294.55343999999997</v>
      </c>
      <c r="CH109" s="44">
        <f>AN109*Z111</f>
        <v>0</v>
      </c>
      <c r="CI109" s="44">
        <f>AN109*AA111</f>
        <v>425.04806354518786</v>
      </c>
      <c r="CJ109" s="44">
        <f>AN109*AB111</f>
        <v>0</v>
      </c>
      <c r="CK109" s="44">
        <f>AN109*AC111</f>
        <v>0</v>
      </c>
      <c r="CL109" s="44">
        <f>AN109*AD111</f>
        <v>123.27851676245461</v>
      </c>
      <c r="CM109" s="44">
        <f>AN109*AE111</f>
        <v>0</v>
      </c>
      <c r="CN109" s="44">
        <f>AN109*AF111</f>
        <v>0</v>
      </c>
      <c r="CO109" s="44">
        <f>AN109*AG111</f>
        <v>0</v>
      </c>
      <c r="CP109" s="44">
        <f>AN109*AH111</f>
        <v>0</v>
      </c>
      <c r="CQ109" s="44">
        <f>AN109*AI111</f>
        <v>1.8344529019892748E-3</v>
      </c>
      <c r="CR109" t="s">
        <v>32</v>
      </c>
      <c r="CS109">
        <v>11635</v>
      </c>
      <c r="CT109" s="117">
        <v>0.15</v>
      </c>
      <c r="CU109">
        <f>CT109*CS109</f>
        <v>1745.25</v>
      </c>
      <c r="CV109" s="16">
        <f>IF(S116&gt;CS109,CU109,CU109-(CS109-S116)*CT109)</f>
        <v>1745.25</v>
      </c>
      <c r="CW109" s="16">
        <f>IF(T116&gt;CS109,CU109,CU109-(CS109-T116)*CT109)</f>
        <v>1745.25</v>
      </c>
      <c r="CX109" s="16">
        <f>IF(U116&gt;CS109,CU109,CU109-(CS109-U116)*CT109)</f>
        <v>1745.25</v>
      </c>
      <c r="CY109" s="16">
        <f>IF(V116&gt;CS109,CU109,CU109-(CS109-V116)*CT109)</f>
        <v>1745.25</v>
      </c>
      <c r="CZ109" s="16">
        <f>IF(W116&gt;CS109,CU109,CU109-(CS109-W116)*CT109)</f>
        <v>1745.25</v>
      </c>
      <c r="DA109" s="16">
        <f>IF(X116&gt;CS109,CU109,CU109-(CS109-X116)*CT109)</f>
        <v>1745.25</v>
      </c>
      <c r="DB109" s="16">
        <f>IF(Y116&gt;CS109,CU109,CU109-(CS109-Y116)*CT109)</f>
        <v>1745.25</v>
      </c>
      <c r="DC109" s="16">
        <f>IF(Z116&gt;CS109,CU109,CU109-(CS109-Z116)*CT109)</f>
        <v>1745.25</v>
      </c>
      <c r="DD109" s="16">
        <f>IF(AA116&gt;CS109,CU109,CU109-(CS109-AA116)*CT109)</f>
        <v>1745.25</v>
      </c>
      <c r="DE109" s="219">
        <f>IF(AB116&gt;CS109,CU109,CU109-(CS109-AB116)*CT109)</f>
        <v>1745.25</v>
      </c>
      <c r="DF109" s="219">
        <f>IF(AC116&gt;CS109,CU109,CU109-(CS109-AC116)*CT109)</f>
        <v>1745.25</v>
      </c>
      <c r="DG109" s="219">
        <f>IF(AD116&gt;CS109,CU109,CU109-(CS109-AD116)*CT109)</f>
        <v>1745.25</v>
      </c>
      <c r="DH109" s="219">
        <f>IF(AE116&gt;CS109,CU109,CU109-(CS109-AE116)*CT109)</f>
        <v>1745.25</v>
      </c>
      <c r="DI109" s="219" t="e">
        <f>IF(AF116&gt;CS109,CU109,CU109-(CS109-AF116)*CT109)</f>
        <v>#VALUE!</v>
      </c>
      <c r="DJ109" s="219">
        <f>IF(AG116&gt;CS109,CU109,CU109-(CS109-AG116)*CT109)</f>
        <v>1745.25</v>
      </c>
      <c r="DK109" s="219" t="e">
        <f>IF(AH116&gt;CS109,CU109,CU109-(CS109-AH116)*CT109)</f>
        <v>#REF!</v>
      </c>
      <c r="DL109" s="219" t="e">
        <f>IF(AI116&gt;CS109,CU109,CU109-(CS109-AI116)*CT109)</f>
        <v>#REF!</v>
      </c>
    </row>
    <row r="110" spans="2:116" ht="15.75" hidden="1" x14ac:dyDescent="0.25">
      <c r="D110" s="140">
        <f>D109-D109*H20</f>
        <v>225063.99943807742</v>
      </c>
      <c r="E110">
        <v>22</v>
      </c>
      <c r="F110" s="140">
        <f>F109+F109*(G15+G16+G17-Q109-H20)</f>
        <v>512411.75539559481</v>
      </c>
      <c r="G110" s="140">
        <f>F110*G16</f>
        <v>10299.476283451455</v>
      </c>
      <c r="H110" s="140">
        <f>F110*G17</f>
        <v>6148.9410647471377</v>
      </c>
      <c r="I110" s="140">
        <f>F110*G15</f>
        <v>25620.58776977974</v>
      </c>
      <c r="J110" s="140">
        <f>D110*G11</f>
        <v>13503.839966284644</v>
      </c>
      <c r="K110" s="117">
        <f>(G11*G6)/F110</f>
        <v>4.0280106345463133E-2</v>
      </c>
      <c r="L110" s="97">
        <f>(G110-C8-(G6*G7)+C7+H110)</f>
        <v>57406.177348198595</v>
      </c>
      <c r="M110" s="117">
        <f>IF(M87&lt;100,0,IF(L110&gt;M25,O26,IF(L110&gt;M24,O25,IF(L110&gt;M23,O24,IF(L110&gt;M22,O23,IF(L110&gt;M21,O22,IF(L110&gt;M20,O21,IF(L110&gt;M19,O20,IF(L110&gt;M18,O19,IF(L110&gt;M17,O18,IF(L110&gt;M16,O17,O16)))))))))))</f>
        <v>6.3899999999999998E-2</v>
      </c>
      <c r="N110" s="117">
        <f t="shared" si="124"/>
        <v>1.2843900000000001E-3</v>
      </c>
      <c r="O110" s="117">
        <f>(IF(L110&gt;M25,N26,IF(L110&gt;M24,N25,IF(L110&gt;M23,N24,IF(L110&gt;M22,N23,IF(L110&gt;M21,N22,IF(L110&gt;M20,N21,IF(L110&gt;M19,N20,IF(L110&gt;M18,N19,IF(L110&gt;M17,N18,IF(L110&gt;M16,N17,N16))))))))))*H110)/F110</f>
        <v>3.5579999999999995E-3</v>
      </c>
      <c r="P110" s="117">
        <f t="shared" si="125"/>
        <v>4.8423899999999994E-3</v>
      </c>
      <c r="Q110" s="261">
        <f t="shared" si="120"/>
        <v>4.5122496345463135E-2</v>
      </c>
      <c r="R110" s="3" t="s">
        <v>35</v>
      </c>
      <c r="S110" s="97">
        <f t="shared" ref="S110:Z110" si="163">1.16*S109</f>
        <v>0</v>
      </c>
      <c r="T110" s="97">
        <f t="shared" si="163"/>
        <v>0</v>
      </c>
      <c r="U110" s="97">
        <f t="shared" si="163"/>
        <v>0</v>
      </c>
      <c r="V110" s="97">
        <f t="shared" si="163"/>
        <v>0</v>
      </c>
      <c r="W110" s="97">
        <f t="shared" si="163"/>
        <v>0</v>
      </c>
      <c r="X110" s="97">
        <f t="shared" si="163"/>
        <v>0</v>
      </c>
      <c r="Y110" s="97">
        <f t="shared" si="163"/>
        <v>0</v>
      </c>
      <c r="Z110" s="97">
        <f t="shared" si="163"/>
        <v>115999.99999999999</v>
      </c>
      <c r="AA110" s="97">
        <f t="shared" ref="AA110:AH110" si="164">1.16*AA109</f>
        <v>0</v>
      </c>
      <c r="AB110" s="97">
        <f t="shared" si="164"/>
        <v>115999.99999999999</v>
      </c>
      <c r="AC110" s="97">
        <f t="shared" si="164"/>
        <v>0</v>
      </c>
      <c r="AD110" s="97">
        <f t="shared" si="164"/>
        <v>115999.99999999999</v>
      </c>
      <c r="AE110" s="97">
        <f t="shared" si="164"/>
        <v>0</v>
      </c>
      <c r="AF110" s="97">
        <f t="shared" si="164"/>
        <v>0</v>
      </c>
      <c r="AG110" s="97">
        <f t="shared" si="164"/>
        <v>399040</v>
      </c>
      <c r="AH110" s="97" t="e">
        <f t="shared" si="164"/>
        <v>#REF!</v>
      </c>
      <c r="AI110" s="97" t="e">
        <f t="shared" ref="AI110" si="165">1.16*AI109</f>
        <v>#REF!</v>
      </c>
      <c r="AK110" s="118">
        <f>AL109+1</f>
        <v>43056</v>
      </c>
      <c r="AL110" s="119">
        <v>46605</v>
      </c>
      <c r="AM110" s="120">
        <v>0.32529999999999998</v>
      </c>
      <c r="AN110" s="122">
        <v>0.1116</v>
      </c>
      <c r="AO110" s="122">
        <v>0.19839999999999999</v>
      </c>
      <c r="AP110" s="13">
        <f t="shared" si="161"/>
        <v>3549</v>
      </c>
      <c r="AQ110" s="13">
        <f t="shared" si="162"/>
        <v>1154.4896999999999</v>
      </c>
      <c r="AR110" s="97">
        <f t="shared" ref="AR110:AR115" si="166">AR109+AQ110</f>
        <v>13007.531199999999</v>
      </c>
      <c r="AS110" s="114">
        <f>AR109+AM110*(S115-AK110)</f>
        <v>13851.6847</v>
      </c>
      <c r="AT110" s="114">
        <f>AR109+AM110*(T115-AK110)</f>
        <v>70710.871699999989</v>
      </c>
      <c r="AU110" s="115">
        <f>AR109+AM110*(U115-AK110)</f>
        <v>12513.322427999999</v>
      </c>
      <c r="AV110" s="115">
        <f>AR109+AM110*(V115-AK110)</f>
        <v>73392.072371999995</v>
      </c>
      <c r="AW110" s="115">
        <f>AR109+AM110*(W115-AK110)</f>
        <v>14523.103899999998</v>
      </c>
      <c r="AX110" s="43">
        <f>AR109+AM110*(X115-AK110)</f>
        <v>71382.290899999993</v>
      </c>
      <c r="AY110" s="115">
        <f>AR109+AM110*(Y115-AK110)</f>
        <v>72053.710099999997</v>
      </c>
      <c r="AZ110" s="115">
        <f>AR109+AM110*(Z115-AK110)</f>
        <v>-2153.0753000000004</v>
      </c>
      <c r="BA110" s="115">
        <f>AR109+AM110*(AA115-AK110)</f>
        <v>10941.000008394532</v>
      </c>
      <c r="BB110" s="43">
        <f>AR109+AM110*(AB115-AK110)</f>
        <v>-2153.0753000000004</v>
      </c>
      <c r="BC110" s="43">
        <f>AR109+AM110*(AC115-AK110)</f>
        <v>10858.9247</v>
      </c>
      <c r="BD110" s="43">
        <f>AR109+AM110*(AD115-AK110)</f>
        <v>-1687.0721117708126</v>
      </c>
      <c r="BE110" s="43">
        <f>AR109+AM110*(AE115-AK110)</f>
        <v>10858.9247</v>
      </c>
      <c r="BF110" s="43" t="e">
        <f>AR109+AM110*(AF115-AK110)</f>
        <v>#VALUE!</v>
      </c>
      <c r="BG110" s="43">
        <f>AR109+AM110*(AG115-AK110)</f>
        <v>70710.871699999989</v>
      </c>
      <c r="BH110" s="43">
        <f>AR109+AM110*(AH115-AK110)</f>
        <v>-2153.0753000000004</v>
      </c>
      <c r="BI110" s="43">
        <f>AR109+AM110*(AI115-AK110)</f>
        <v>10858.9247</v>
      </c>
      <c r="BJ110" s="115">
        <f>S109*AO110</f>
        <v>0</v>
      </c>
      <c r="BK110" s="115">
        <f>T109*AO110</f>
        <v>0</v>
      </c>
      <c r="BL110" s="115">
        <f>U109*AO110</f>
        <v>0</v>
      </c>
      <c r="BM110" s="115">
        <f>V109*AO110</f>
        <v>0</v>
      </c>
      <c r="BN110" s="115">
        <f>W109*AO110</f>
        <v>0</v>
      </c>
      <c r="BO110" s="115">
        <f>X109*AO110</f>
        <v>0</v>
      </c>
      <c r="BP110" s="43">
        <f>Y109*AO110</f>
        <v>0</v>
      </c>
      <c r="BQ110" s="43">
        <f>Z109*AO110</f>
        <v>19840</v>
      </c>
      <c r="BR110" s="43">
        <f>AA109*AO110</f>
        <v>0</v>
      </c>
      <c r="BS110" s="43">
        <f>AB109*AO110</f>
        <v>19840</v>
      </c>
      <c r="BT110" s="43">
        <f>AC109*AO110</f>
        <v>0</v>
      </c>
      <c r="BU110" s="43">
        <f>AD109*AO110</f>
        <v>19840</v>
      </c>
      <c r="BV110" s="43">
        <f>AE109*AO110</f>
        <v>0</v>
      </c>
      <c r="BW110" s="43">
        <f>AF109*AO110</f>
        <v>0</v>
      </c>
      <c r="BX110" s="43">
        <f>AG109*AO110</f>
        <v>68249.599999999991</v>
      </c>
      <c r="BY110" s="43" t="e">
        <f>AH109*AO110</f>
        <v>#REF!</v>
      </c>
      <c r="BZ110" s="43" t="e">
        <f>AI109*AO110</f>
        <v>#REF!</v>
      </c>
      <c r="CA110" s="44">
        <f>AN110*S111</f>
        <v>0</v>
      </c>
      <c r="CB110" s="44">
        <f>AN110*T111</f>
        <v>0</v>
      </c>
      <c r="CC110" s="44">
        <f>AN110*U111</f>
        <v>771.64703999999995</v>
      </c>
      <c r="CD110" s="44">
        <f>AN110*V111</f>
        <v>0</v>
      </c>
      <c r="CE110" s="44">
        <f>AN110*W111</f>
        <v>385.82351999999997</v>
      </c>
      <c r="CF110" s="44">
        <f>AN110*X111</f>
        <v>385.82351999999997</v>
      </c>
      <c r="CG110" s="44">
        <f>AN110*Y111</f>
        <v>771.64703999999995</v>
      </c>
      <c r="CH110" s="44">
        <f>AN110*Z111</f>
        <v>0</v>
      </c>
      <c r="CI110" s="44">
        <f>AN110*AA111</f>
        <v>1113.5061946395062</v>
      </c>
      <c r="CJ110" s="44">
        <f>AN110*AB111</f>
        <v>0</v>
      </c>
      <c r="CK110" s="44">
        <f>AN110*AC111</f>
        <v>0</v>
      </c>
      <c r="CL110" s="44">
        <f>AN110*AD111</f>
        <v>322.95498757488116</v>
      </c>
      <c r="CM110" s="44">
        <f>AN110*AE111</f>
        <v>0</v>
      </c>
      <c r="CN110" s="44">
        <f>AN110*AF111</f>
        <v>0</v>
      </c>
      <c r="CO110" s="44">
        <f>AN110*AG111</f>
        <v>0</v>
      </c>
      <c r="CP110" s="44">
        <f>AN110*AH111</f>
        <v>0</v>
      </c>
      <c r="CQ110" s="44">
        <f>AN110*AI111</f>
        <v>4.8057498559155656E-3</v>
      </c>
      <c r="CR110" t="s">
        <v>36</v>
      </c>
      <c r="CS110">
        <v>14890</v>
      </c>
      <c r="CT110" s="117">
        <v>0.16</v>
      </c>
      <c r="CU110">
        <f>CT110*CS110</f>
        <v>2382.4</v>
      </c>
      <c r="CV110" s="16">
        <f>IF(S116&gt;CS110,CU110,CU110-(CS110-S116)*CT110)</f>
        <v>2382.4</v>
      </c>
      <c r="CW110" s="16">
        <f>IF(T116&gt;CS110,CU110,CU110-(CS110-T116)*CT110)</f>
        <v>2382.4</v>
      </c>
      <c r="CX110" s="16">
        <f>IF(U116&gt;CS110,CU110,CU110-(CS110-U116)*CT110)</f>
        <v>2382.4</v>
      </c>
      <c r="CY110" s="16">
        <f>IF(V116&gt;CS110,CU110,CU110-(CS110-V116)*CT110)</f>
        <v>2382.4</v>
      </c>
      <c r="CZ110" s="16">
        <f>IF(W116&gt;CS110,CU110,CU110-(CS110-W116)*CT110)</f>
        <v>2382.4</v>
      </c>
      <c r="DA110" s="16">
        <f>IF(X116&gt;CS110,CU110,CU110-(CS110-X116)*CT110)</f>
        <v>2382.4</v>
      </c>
      <c r="DB110" s="16">
        <f>IF(Y116&gt;CS110,CU110,CU110-(CS110-Y116)*CT110)</f>
        <v>2382.4</v>
      </c>
      <c r="DC110" s="16">
        <f>IF(Z116&gt;CS110,CU110,CU110-(CS110-Z116)*CT110)</f>
        <v>2382.4</v>
      </c>
      <c r="DD110" s="16">
        <f>IF(AA116&gt;CS110,CU110,CU110-(CS110-AA116)*CT110)</f>
        <v>2382.4</v>
      </c>
      <c r="DE110" s="219">
        <f>IF(AB116&gt;CS110,CU110,CU110-(CS110-AB116)*CT110)</f>
        <v>2382.4</v>
      </c>
      <c r="DF110" s="219">
        <f>IF(AC116&gt;CS110,CU110,CU110-(CS110-AC116)*CT110)</f>
        <v>2382.4</v>
      </c>
      <c r="DG110" s="219">
        <f>IF(AD116&gt;CS110,CU110,CU110-(CS110-AD116)*CT110)</f>
        <v>2382.4</v>
      </c>
      <c r="DH110" s="219">
        <f>IF(AE116&gt;CS110,CU110,CU110-(CS110-AE116)*CT110)</f>
        <v>2382.4</v>
      </c>
      <c r="DI110" s="219" t="e">
        <f>IF(AF116&gt;CS110,CU110,CU110-(CS110-AF116)*CT110)</f>
        <v>#VALUE!</v>
      </c>
      <c r="DJ110" s="219">
        <f>IF(AG116&gt;CS110,CU110,CU110-(CS110-AG116)*CT110)</f>
        <v>2382.4</v>
      </c>
      <c r="DK110" s="219" t="e">
        <f>IF(AH116&gt;CS110,CU110,CU110-(CS110-AH116)*CT110)</f>
        <v>#REF!</v>
      </c>
      <c r="DL110" s="219" t="e">
        <f>IF(AI116&gt;CS110,CU110,CU110-(CS110-AI116)*CT110)</f>
        <v>#REF!</v>
      </c>
    </row>
    <row r="111" spans="2:116" ht="15.75" hidden="1" x14ac:dyDescent="0.25">
      <c r="D111" s="140">
        <f>D110-D110*H20</f>
        <v>220562.71944931586</v>
      </c>
      <c r="E111">
        <v>23</v>
      </c>
      <c r="F111" s="140">
        <f>F110+F110*(G15+G16+G17-Q110-H20)</f>
        <v>521111.22784545115</v>
      </c>
      <c r="G111" s="140">
        <f>F111*G16</f>
        <v>10474.335679693568</v>
      </c>
      <c r="H111" s="140">
        <f>F111*G17</f>
        <v>6253.3347341454137</v>
      </c>
      <c r="I111" s="140">
        <f>F111*G15</f>
        <v>26055.561392272561</v>
      </c>
      <c r="J111" s="140">
        <f>D111*G11</f>
        <v>13233.763166958952</v>
      </c>
      <c r="K111" s="117">
        <f>(G11*G6)/F111</f>
        <v>3.9607667033651629E-2</v>
      </c>
      <c r="L111" s="97">
        <f>(G111-C8-(G6*G7)+C7+H111)</f>
        <v>57685.430413838978</v>
      </c>
      <c r="M111" s="117">
        <f>IF(M87&lt;100,0,IF(L111&gt;M25,O26,IF(L111&gt;M24,O25,IF(L111&gt;M23,O24,IF(L111&gt;M22,O23,IF(L111&gt;M21,O22,IF(L111&gt;M20,O21,IF(L111&gt;M19,O20,IF(L111&gt;M18,O19,IF(L111&gt;M17,O18,IF(L111&gt;M16,O17,O16)))))))))))</f>
        <v>6.3899999999999998E-2</v>
      </c>
      <c r="N111" s="117">
        <f t="shared" si="124"/>
        <v>1.2843899999999998E-3</v>
      </c>
      <c r="O111" s="117">
        <f>(IF(L111&gt;M25,N26,IF(L111&gt;M24,N25,IF(L111&gt;M23,N24,IF(L111&gt;M22,N23,IF(L111&gt;M21,N22,IF(L111&gt;M20,N21,IF(L111&gt;M19,N20,IF(L111&gt;M18,N19,IF(L111&gt;M17,N18,IF(L111&gt;M16,N17,N16))))))))))*H111)/F111</f>
        <v>3.5579999999999995E-3</v>
      </c>
      <c r="P111" s="117">
        <f t="shared" si="125"/>
        <v>4.8423899999999994E-3</v>
      </c>
      <c r="Q111" s="261">
        <f t="shared" si="120"/>
        <v>4.4450057033651631E-2</v>
      </c>
      <c r="R111" s="3" t="s">
        <v>38</v>
      </c>
      <c r="S111" s="97">
        <f t="shared" ref="S111:Z111" si="167">S94</f>
        <v>0</v>
      </c>
      <c r="T111" s="97">
        <f t="shared" si="167"/>
        <v>0</v>
      </c>
      <c r="U111" s="97">
        <f t="shared" si="167"/>
        <v>6914.4</v>
      </c>
      <c r="V111" s="97">
        <f t="shared" si="167"/>
        <v>0</v>
      </c>
      <c r="W111" s="97">
        <f t="shared" si="167"/>
        <v>3457.2</v>
      </c>
      <c r="X111" s="97">
        <f t="shared" si="167"/>
        <v>3457.2</v>
      </c>
      <c r="Y111" s="97">
        <f t="shared" si="167"/>
        <v>6914.4</v>
      </c>
      <c r="Z111" s="97">
        <f t="shared" si="167"/>
        <v>0</v>
      </c>
      <c r="AA111" s="97">
        <f t="shared" ref="AA111:AH111" si="168">AA94</f>
        <v>9977.6540738307012</v>
      </c>
      <c r="AB111" s="97">
        <f t="shared" si="168"/>
        <v>0</v>
      </c>
      <c r="AC111" s="97">
        <f t="shared" si="168"/>
        <v>0</v>
      </c>
      <c r="AD111" s="97">
        <f t="shared" si="168"/>
        <v>2893.8618958322681</v>
      </c>
      <c r="AE111" s="97">
        <f t="shared" si="168"/>
        <v>0</v>
      </c>
      <c r="AF111" s="97">
        <f t="shared" si="168"/>
        <v>0</v>
      </c>
      <c r="AG111" s="97">
        <f t="shared" si="168"/>
        <v>0</v>
      </c>
      <c r="AH111" s="97">
        <f t="shared" si="168"/>
        <v>0</v>
      </c>
      <c r="AI111" s="97">
        <f t="shared" ref="AI111" si="169">AI94</f>
        <v>4.3062274694583916E-2</v>
      </c>
      <c r="AK111" s="67">
        <f t="shared" ref="AK111:AK116" si="170">AL110+1</f>
        <v>46606</v>
      </c>
      <c r="AL111" s="123">
        <v>86105</v>
      </c>
      <c r="AM111" s="111">
        <v>0.37119999999999997</v>
      </c>
      <c r="AN111" s="113">
        <v>0.1749</v>
      </c>
      <c r="AO111" s="113">
        <v>0.25159999999999999</v>
      </c>
      <c r="AP111" s="13">
        <f t="shared" si="161"/>
        <v>39499</v>
      </c>
      <c r="AQ111" s="13">
        <f t="shared" si="162"/>
        <v>14662.028799999998</v>
      </c>
      <c r="AR111" s="97">
        <f t="shared" si="166"/>
        <v>27669.559999999998</v>
      </c>
      <c r="AS111" s="114">
        <f>AR110+AM111*(S115-AK111)</f>
        <v>13970.423999999999</v>
      </c>
      <c r="AT111" s="114">
        <f>AR110+AM111*(T115-AK111)</f>
        <v>78852.471999999994</v>
      </c>
      <c r="AU111" s="115">
        <f>AR110+AM111*(U115-AK111)</f>
        <v>12443.218112</v>
      </c>
      <c r="AV111" s="115">
        <f>AR110+AM111*(V115-AK111)</f>
        <v>81911.991487999985</v>
      </c>
      <c r="AW111" s="115">
        <f>AR110+AM111*(W115-AK111)</f>
        <v>14736.5808</v>
      </c>
      <c r="AX111" s="43">
        <f>AS110+AM111*(X115-AK111)</f>
        <v>80462.782299999992</v>
      </c>
      <c r="AY111" s="115">
        <f>AR110+AM111*(Y115-AK111)</f>
        <v>80384.785599999988</v>
      </c>
      <c r="AZ111" s="115">
        <f>AR110+AM111*(Z115-AK111)</f>
        <v>-4292.616</v>
      </c>
      <c r="BA111" s="115">
        <f>AR110+AM111*(AA115-AK111)</f>
        <v>10649.040177301109</v>
      </c>
      <c r="BB111" s="43">
        <f>AR110+AM111*(AB115-AK111)</f>
        <v>-4292.616</v>
      </c>
      <c r="BC111" s="43">
        <f>AR110+AM111*(AC115-AK111)</f>
        <v>10555.384</v>
      </c>
      <c r="BD111" s="43">
        <f>AR110+AM111*(AD115-AK111)</f>
        <v>-3760.8595183809575</v>
      </c>
      <c r="BE111" s="43">
        <f>AR110+AM111*(AE115-AK111)</f>
        <v>10555.384</v>
      </c>
      <c r="BF111" s="43" t="e">
        <f>AR110+AM111*(AF115-AK111)</f>
        <v>#VALUE!</v>
      </c>
      <c r="BG111" s="43">
        <f>AR110+AM111*(AG115-AK111)</f>
        <v>78852.471999999994</v>
      </c>
      <c r="BH111" s="43">
        <f>AR110+AM111*(AH115-AK111)</f>
        <v>-4292.616</v>
      </c>
      <c r="BI111" s="43">
        <f>AR110+AM111*(AI115-AK111)</f>
        <v>10555.384</v>
      </c>
      <c r="BJ111" s="115">
        <f>S109*AO111</f>
        <v>0</v>
      </c>
      <c r="BK111" s="147">
        <f>T109*AO111</f>
        <v>0</v>
      </c>
      <c r="BL111" s="115">
        <f>U109*AO111</f>
        <v>0</v>
      </c>
      <c r="BM111" s="115">
        <f>V109*AO111</f>
        <v>0</v>
      </c>
      <c r="BN111" s="115">
        <f>W109*AO111</f>
        <v>0</v>
      </c>
      <c r="BO111" s="115">
        <f>X109*AO111</f>
        <v>0</v>
      </c>
      <c r="BP111" s="43">
        <f>Y109*AO111</f>
        <v>0</v>
      </c>
      <c r="BQ111" s="43">
        <f>Z109*AO111</f>
        <v>25160</v>
      </c>
      <c r="BR111" s="43">
        <f>AA109*AO111</f>
        <v>0</v>
      </c>
      <c r="BS111" s="43">
        <f>AB109*AO111</f>
        <v>25160</v>
      </c>
      <c r="BT111" s="43">
        <f>AC109*AO111</f>
        <v>0</v>
      </c>
      <c r="BU111" s="43">
        <f>AD109*AO111</f>
        <v>25160</v>
      </c>
      <c r="BV111" s="43">
        <f>AE109*AO111</f>
        <v>0</v>
      </c>
      <c r="BW111" s="43">
        <f>AF109*AO111</f>
        <v>0</v>
      </c>
      <c r="BX111" s="43">
        <f>AG109*AO111</f>
        <v>86550.399999999994</v>
      </c>
      <c r="BY111" s="43" t="e">
        <f>AH109*AO111</f>
        <v>#REF!</v>
      </c>
      <c r="BZ111" s="43" t="e">
        <f>AI109*AO111</f>
        <v>#REF!</v>
      </c>
      <c r="CA111" s="44">
        <f>AN111*S111</f>
        <v>0</v>
      </c>
      <c r="CB111" s="44">
        <f>AN111*T111</f>
        <v>0</v>
      </c>
      <c r="CC111" s="44">
        <f>AN111*U111</f>
        <v>1209.3285599999999</v>
      </c>
      <c r="CD111" s="44">
        <f>AN111*V111</f>
        <v>0</v>
      </c>
      <c r="CE111" s="44">
        <f>AN111*W111</f>
        <v>604.66427999999996</v>
      </c>
      <c r="CF111" s="44">
        <f>AN111*X111</f>
        <v>604.66427999999996</v>
      </c>
      <c r="CG111" s="44">
        <f>AN111*Y111</f>
        <v>1209.3285599999999</v>
      </c>
      <c r="CH111" s="44">
        <f>AN111*Z111</f>
        <v>0</v>
      </c>
      <c r="CI111" s="44">
        <f>AN111*AA111</f>
        <v>1745.0916975129896</v>
      </c>
      <c r="CJ111" s="44">
        <f>AN111*AB111</f>
        <v>0</v>
      </c>
      <c r="CK111" s="44">
        <f>AN111*AC111</f>
        <v>0</v>
      </c>
      <c r="CL111" s="44">
        <f>AN111*AD111</f>
        <v>506.1364455810637</v>
      </c>
      <c r="CM111" s="44">
        <f>AN111*AE111</f>
        <v>0</v>
      </c>
      <c r="CN111" s="44">
        <f>AN111*AF111</f>
        <v>0</v>
      </c>
      <c r="CO111" s="44">
        <f>AN111*AG111</f>
        <v>0</v>
      </c>
      <c r="CP111" s="44">
        <f>AN111*AH111</f>
        <v>0</v>
      </c>
      <c r="CQ111" s="44">
        <f>AN111*AI111</f>
        <v>7.5315918440827271E-3</v>
      </c>
    </row>
    <row r="112" spans="2:116" ht="15.75" hidden="1" x14ac:dyDescent="0.25">
      <c r="D112" s="140">
        <f>D111-D111*H20</f>
        <v>216151.46506032953</v>
      </c>
      <c r="E112">
        <v>24</v>
      </c>
      <c r="F112" s="140">
        <f>F111+F111*(G15+G16+G17-Q111-H20)</f>
        <v>530308.81129604718</v>
      </c>
      <c r="G112" s="140">
        <f>F112*G16</f>
        <v>10659.207107050548</v>
      </c>
      <c r="H112" s="140">
        <f>F112*G17</f>
        <v>6363.7057355525667</v>
      </c>
      <c r="I112" s="140">
        <f>F112*G15</f>
        <v>26515.44056480236</v>
      </c>
      <c r="J112" s="140">
        <f>D112*G11</f>
        <v>12969.087903619771</v>
      </c>
      <c r="K112" s="117">
        <f>(G11*G6)/F112</f>
        <v>3.8920718570670004E-2</v>
      </c>
      <c r="L112" s="97">
        <f>(G112-C8-(G6*G7)+C7+H112)</f>
        <v>57980.672842603119</v>
      </c>
      <c r="M112" s="117">
        <f>IF(M87&lt;100,0,IF(L112&gt;M25,O26,IF(L112&gt;M24,O25,IF(L112&gt;M23,O24,IF(L112&gt;M22,O23,IF(L112&gt;M21,O22,IF(L112&gt;M20,O21,IF(L112&gt;M19,O20,IF(L112&gt;M18,O19,IF(L112&gt;M17,O18,IF(L112&gt;M16,O17,O16)))))))))))</f>
        <v>6.3899999999999998E-2</v>
      </c>
      <c r="N112" s="117">
        <f t="shared" si="124"/>
        <v>1.2843900000000001E-3</v>
      </c>
      <c r="O112" s="117">
        <f>(IF(L112&gt;M25,N26,IF(L112&gt;M24,N25,IF(L112&gt;M23,N24,IF(L112&gt;M22,N23,IF(L112&gt;M21,N22,IF(L112&gt;M20,N21,IF(L112&gt;M19,N20,IF(L112&gt;M18,N19,IF(L112&gt;M17,N18,IF(L112&gt;M16,N17,N16))))))))))*H112)/F112</f>
        <v>3.558E-3</v>
      </c>
      <c r="P112" s="117">
        <f t="shared" si="125"/>
        <v>4.8423900000000002E-3</v>
      </c>
      <c r="Q112" s="261">
        <f t="shared" si="120"/>
        <v>4.3763108570670006E-2</v>
      </c>
      <c r="R112" s="3" t="s">
        <v>39</v>
      </c>
      <c r="S112" s="97">
        <f t="shared" ref="S112:Z112" si="171">S111*1.38</f>
        <v>0</v>
      </c>
      <c r="T112" s="97">
        <f t="shared" si="171"/>
        <v>0</v>
      </c>
      <c r="U112" s="97">
        <f t="shared" si="171"/>
        <v>9541.8719999999994</v>
      </c>
      <c r="V112" s="97">
        <f t="shared" si="171"/>
        <v>0</v>
      </c>
      <c r="W112" s="97">
        <f t="shared" si="171"/>
        <v>4770.9359999999997</v>
      </c>
      <c r="X112" s="97">
        <f t="shared" si="171"/>
        <v>4770.9359999999997</v>
      </c>
      <c r="Y112" s="97">
        <f t="shared" si="171"/>
        <v>9541.8719999999994</v>
      </c>
      <c r="Z112" s="97">
        <f t="shared" si="171"/>
        <v>0</v>
      </c>
      <c r="AA112" s="97">
        <f t="shared" ref="AA112:AH112" si="172">AA111*1.38</f>
        <v>13769.162621886366</v>
      </c>
      <c r="AB112" s="97">
        <f t="shared" si="172"/>
        <v>0</v>
      </c>
      <c r="AC112" s="97">
        <f t="shared" si="172"/>
        <v>0</v>
      </c>
      <c r="AD112" s="97">
        <f t="shared" si="172"/>
        <v>3993.5294162485297</v>
      </c>
      <c r="AE112" s="97">
        <f t="shared" si="172"/>
        <v>0</v>
      </c>
      <c r="AF112" s="97">
        <f t="shared" si="172"/>
        <v>0</v>
      </c>
      <c r="AG112" s="97">
        <f t="shared" si="172"/>
        <v>0</v>
      </c>
      <c r="AH112" s="97">
        <f t="shared" si="172"/>
        <v>0</v>
      </c>
      <c r="AI112" s="97">
        <f t="shared" ref="AI112" si="173">AI111*1.38</f>
        <v>5.9425939078525801E-2</v>
      </c>
      <c r="AK112" s="118">
        <f t="shared" si="170"/>
        <v>86106</v>
      </c>
      <c r="AL112" s="119">
        <v>93208</v>
      </c>
      <c r="AM112" s="120">
        <v>0.41120000000000001</v>
      </c>
      <c r="AN112" s="122">
        <v>0.2301</v>
      </c>
      <c r="AO112" s="122">
        <v>0.29799999999999999</v>
      </c>
      <c r="AP112" s="13">
        <f t="shared" si="161"/>
        <v>7102</v>
      </c>
      <c r="AQ112" s="13">
        <f t="shared" si="162"/>
        <v>2920.3424</v>
      </c>
      <c r="AR112" s="97">
        <f t="shared" si="166"/>
        <v>30589.902399999999</v>
      </c>
      <c r="AS112" s="114">
        <f>AR111+AM112*(S115-AK112)</f>
        <v>12493.812799999998</v>
      </c>
      <c r="AT112" s="114">
        <f>AR111+AM112*(T115-AK112)</f>
        <v>84367.460800000001</v>
      </c>
      <c r="AU112" s="115">
        <f>AR111+AM112*(U115-AK112)</f>
        <v>10802.037311999997</v>
      </c>
      <c r="AV112" s="115">
        <f>AR111+AM112*(V115-AK112)</f>
        <v>87756.669888000004</v>
      </c>
      <c r="AW112" s="115">
        <f>AR111+AM112*(W115-AK112)</f>
        <v>13342.529599999998</v>
      </c>
      <c r="AX112" s="43">
        <f>AR111+AM112*(X115-AK112)</f>
        <v>85216.177599999995</v>
      </c>
      <c r="AY112" s="115">
        <f>AR111+AM112*(Y115-AK112)</f>
        <v>86064.89439999999</v>
      </c>
      <c r="AZ112" s="115">
        <f>AR111+AM112*(Z115-AK112)</f>
        <v>-7737.2272000000012</v>
      </c>
      <c r="BA112" s="115">
        <f>AR111+AM112*(AA115-AK112)</f>
        <v>8814.521237786139</v>
      </c>
      <c r="BB112" s="43">
        <f>AR111+AM112*(AB115-AK112)</f>
        <v>-7737.2272000000012</v>
      </c>
      <c r="BC112" s="43">
        <f>AR111+AM112*(AC115-AK112)</f>
        <v>8710.7727999999988</v>
      </c>
      <c r="BD112" s="43">
        <f>AR111+AM112*(AD115-AK112)</f>
        <v>-7148.1693733789143</v>
      </c>
      <c r="BE112" s="43">
        <f>AR111+AM112*(AE115-AK112)</f>
        <v>8710.7727999999988</v>
      </c>
      <c r="BF112" s="43" t="e">
        <f>AR111+AM112*(AF115-AK112)</f>
        <v>#VALUE!</v>
      </c>
      <c r="BG112" s="43">
        <f>AR111+AM112*(AG115-AK112)</f>
        <v>84367.460800000001</v>
      </c>
      <c r="BH112" s="43">
        <f>AR111+AM112*(AH115-AK112)</f>
        <v>-7737.2272000000012</v>
      </c>
      <c r="BI112" s="43">
        <f>AR111+AM112*(AI115-AK112)</f>
        <v>8710.7727999999988</v>
      </c>
      <c r="BJ112" s="115">
        <f>S109*AO112</f>
        <v>0</v>
      </c>
      <c r="BK112" s="147">
        <f>T109*AO112</f>
        <v>0</v>
      </c>
      <c r="BL112" s="115">
        <f>U109*AO112</f>
        <v>0</v>
      </c>
      <c r="BM112" s="115">
        <f>V109*AO112</f>
        <v>0</v>
      </c>
      <c r="BN112" s="115">
        <f>W109*AO112</f>
        <v>0</v>
      </c>
      <c r="BO112" s="115">
        <f>X109*AP112</f>
        <v>0</v>
      </c>
      <c r="BP112" s="43">
        <f>Y109*AO112</f>
        <v>0</v>
      </c>
      <c r="BQ112" s="43">
        <f>Z109*AO112</f>
        <v>29800</v>
      </c>
      <c r="BR112" s="43">
        <f>AA109*AO112</f>
        <v>0</v>
      </c>
      <c r="BS112" s="43">
        <f>AB109*AO112</f>
        <v>29800</v>
      </c>
      <c r="BT112" s="43">
        <f>AC109*AO112</f>
        <v>0</v>
      </c>
      <c r="BU112" s="43">
        <f>AD109*AO112</f>
        <v>29800</v>
      </c>
      <c r="BV112" s="43">
        <f>AE109*AO112</f>
        <v>0</v>
      </c>
      <c r="BW112" s="43">
        <f>AF109*AO112</f>
        <v>0</v>
      </c>
      <c r="BX112" s="43">
        <f>AG109*AO112</f>
        <v>102512</v>
      </c>
      <c r="BY112" s="43" t="e">
        <f>AH109*AO112</f>
        <v>#REF!</v>
      </c>
      <c r="BZ112" s="43" t="e">
        <f>AI109*AO112</f>
        <v>#REF!</v>
      </c>
      <c r="CA112" s="44">
        <f>AN112*S111</f>
        <v>0</v>
      </c>
      <c r="CB112" s="44">
        <f>AN112*T111</f>
        <v>0</v>
      </c>
      <c r="CC112" s="44">
        <f>AN112*U111</f>
        <v>1591.00344</v>
      </c>
      <c r="CD112" s="44">
        <f>AN112*V111</f>
        <v>0</v>
      </c>
      <c r="CE112" s="44">
        <f>AN112*W111</f>
        <v>795.50171999999998</v>
      </c>
      <c r="CF112" s="44">
        <f>AN112*X111</f>
        <v>795.50171999999998</v>
      </c>
      <c r="CG112" s="44">
        <f>AN112*Y111</f>
        <v>1591.00344</v>
      </c>
      <c r="CH112" s="44">
        <f>AN112*Z111</f>
        <v>0</v>
      </c>
      <c r="CI112" s="44">
        <f>AN112*AA111</f>
        <v>2295.8582023884442</v>
      </c>
      <c r="CJ112" s="44">
        <f>AN112*AB111</f>
        <v>0</v>
      </c>
      <c r="CK112" s="44">
        <f>AN112*AC111</f>
        <v>0</v>
      </c>
      <c r="CL112" s="44">
        <f>AN112*AD111</f>
        <v>665.87762223100492</v>
      </c>
      <c r="CM112" s="44">
        <f>AN112*AE111</f>
        <v>0</v>
      </c>
      <c r="CN112" s="44">
        <f>AN112*AF111</f>
        <v>0</v>
      </c>
      <c r="CO112" s="44">
        <f>AN112*AG111</f>
        <v>0</v>
      </c>
      <c r="CP112" s="44">
        <f>AN112*AH111</f>
        <v>0</v>
      </c>
      <c r="CQ112" s="44">
        <f>AN112*AI111</f>
        <v>9.9086294072237586E-3</v>
      </c>
    </row>
    <row r="113" spans="4:116" ht="15.75" hidden="1" x14ac:dyDescent="0.25">
      <c r="D113" s="140">
        <f>D112-D112*H20</f>
        <v>211828.43575912295</v>
      </c>
      <c r="E113">
        <v>25</v>
      </c>
      <c r="F113" s="140">
        <f>F112+F112*(G15+G16+G17-Q112-H20)</f>
        <v>540033.0263927998</v>
      </c>
      <c r="G113" s="140">
        <f>F113*G16</f>
        <v>10854.663830495276</v>
      </c>
      <c r="H113" s="140">
        <f>F113*G17</f>
        <v>6480.396316713598</v>
      </c>
      <c r="I113" s="140">
        <f>F113*G15</f>
        <v>27001.65131963999</v>
      </c>
      <c r="J113" s="140">
        <f>D113*G11</f>
        <v>12709.706145547376</v>
      </c>
      <c r="K113" s="117">
        <f>(G11*G6)/F113</f>
        <v>3.8219884694583914E-2</v>
      </c>
      <c r="L113" s="97">
        <f>(G113-C8-(G6*G7)+C7+H113)</f>
        <v>58292.820147208869</v>
      </c>
      <c r="M113" s="117">
        <f>IF(M87&lt;100,0,IF(L113&gt;M25,O26,IF(L113&gt;M24,O25,IF(L113&gt;M23,O24,IF(L113&gt;M22,O23,IF(L113&gt;M21,O22,IF(L113&gt;M20,O21,IF(L113&gt;M19,O20,IF(L113&gt;M18,O19,IF(L113&gt;M17,O18,IF(L113&gt;M16,O17,O16)))))))))))</f>
        <v>6.3899999999999998E-2</v>
      </c>
      <c r="N113" s="117">
        <f t="shared" si="124"/>
        <v>1.2843899999999998E-3</v>
      </c>
      <c r="O113" s="117">
        <f>(IF(L113&gt;M25,N26,IF(L113&gt;M24,N25,IF(L113&gt;M23,N24,IF(L113&gt;M22,N23,IF(L113&gt;M21,N22,IF(L113&gt;M20,N21,IF(L113&gt;M19,N20,IF(L113&gt;M18,N19,IF(L113&gt;M17,N18,IF(L113&gt;M16,N17,N16))))))))))*H113)/F113</f>
        <v>3.558E-3</v>
      </c>
      <c r="P113" s="117">
        <f t="shared" si="125"/>
        <v>4.8423900000000002E-3</v>
      </c>
      <c r="Q113" s="261">
        <f t="shared" si="120"/>
        <v>4.3062274694583909E-2</v>
      </c>
      <c r="R113" s="3" t="s">
        <v>40</v>
      </c>
      <c r="S113" s="97">
        <f t="shared" ref="S113:Z114" si="174">S96</f>
        <v>0</v>
      </c>
      <c r="T113" s="97">
        <f t="shared" si="174"/>
        <v>0</v>
      </c>
      <c r="U113" s="97">
        <f t="shared" si="174"/>
        <v>0</v>
      </c>
      <c r="V113" s="97">
        <f t="shared" si="174"/>
        <v>0</v>
      </c>
      <c r="W113" s="97">
        <f t="shared" si="174"/>
        <v>0</v>
      </c>
      <c r="X113" s="97">
        <f t="shared" si="174"/>
        <v>0</v>
      </c>
      <c r="Y113" s="97">
        <f t="shared" si="174"/>
        <v>0</v>
      </c>
      <c r="Z113" s="97">
        <f t="shared" si="174"/>
        <v>0</v>
      </c>
      <c r="AA113" s="97">
        <f t="shared" ref="AA113:AH114" si="175">AA96</f>
        <v>504.6130242516665</v>
      </c>
      <c r="AB113" s="97">
        <f t="shared" si="175"/>
        <v>0</v>
      </c>
      <c r="AC113" s="97">
        <f t="shared" si="175"/>
        <v>0</v>
      </c>
      <c r="AD113" s="97">
        <f t="shared" si="175"/>
        <v>2865.0672501025942</v>
      </c>
      <c r="AE113" s="97">
        <f t="shared" si="175"/>
        <v>0</v>
      </c>
      <c r="AF113" s="97" t="str">
        <f t="shared" si="175"/>
        <v>Total Drag</v>
      </c>
      <c r="AG113" s="97">
        <f t="shared" si="175"/>
        <v>0</v>
      </c>
      <c r="AH113" s="97">
        <f t="shared" si="175"/>
        <v>0</v>
      </c>
      <c r="AI113" s="97">
        <f t="shared" ref="AI113" si="176">AI96</f>
        <v>0</v>
      </c>
      <c r="AK113" s="67">
        <f t="shared" si="170"/>
        <v>93209</v>
      </c>
      <c r="AL113" s="123">
        <v>104765</v>
      </c>
      <c r="AM113" s="111">
        <v>0.45710000000000001</v>
      </c>
      <c r="AN113" s="113">
        <v>0.29349999999999998</v>
      </c>
      <c r="AO113" s="113">
        <v>0.3513</v>
      </c>
      <c r="AP113" s="13">
        <f t="shared" si="161"/>
        <v>11556</v>
      </c>
      <c r="AQ113" s="13">
        <f t="shared" si="162"/>
        <v>5282.2475999999997</v>
      </c>
      <c r="AR113" s="97">
        <f t="shared" si="166"/>
        <v>35872.15</v>
      </c>
      <c r="AS113" s="114">
        <f>AR112+AM113*(S115-AK113)</f>
        <v>10473.388499999997</v>
      </c>
      <c r="AT113" s="114">
        <f>AR112+AM113*(T115-AK113)</f>
        <v>90369.897499999992</v>
      </c>
      <c r="AU113" s="115">
        <f>AR112+AM113*(U115-AK113)</f>
        <v>8592.7693959999997</v>
      </c>
      <c r="AV113" s="115">
        <f>AR112+AM113*(V115-AK113)</f>
        <v>94137.425403999994</v>
      </c>
      <c r="AW113" s="115">
        <f>AR112+AM113*(W115-AK113)</f>
        <v>11416.8429</v>
      </c>
      <c r="AX113" s="43">
        <f>AR112+AM113*(X115-AK113)</f>
        <v>91313.351900000009</v>
      </c>
      <c r="AY113" s="115">
        <f>AR112+AM113*(Y115-AK113)</f>
        <v>92256.806299999997</v>
      </c>
      <c r="AZ113" s="115">
        <f>AR112+AM113*(Z115-AK113)</f>
        <v>-12015.931499999999</v>
      </c>
      <c r="BA113" s="115">
        <f>AR112+AM113*(AA115-AK113)</f>
        <v>6383.3978066927157</v>
      </c>
      <c r="BB113" s="43">
        <f>AR112+AM113*(AB115-AK113)</f>
        <v>-12015.931499999999</v>
      </c>
      <c r="BC113" s="43">
        <f>AR112+AM113*(AC115-AK113)</f>
        <v>6268.0684999999976</v>
      </c>
      <c r="BD113" s="43">
        <f>AR112+AM113*(AD115-AK113)</f>
        <v>-11361.120379989057</v>
      </c>
      <c r="BE113" s="43">
        <f>AR112+AM113*(AE115-AK113)</f>
        <v>6268.0684999999976</v>
      </c>
      <c r="BF113" s="43" t="e">
        <f>AR112+AM113*(AF115-AK113)</f>
        <v>#VALUE!</v>
      </c>
      <c r="BG113" s="43">
        <f>AR112+AM113*(AG115-AK113)</f>
        <v>90369.897499999992</v>
      </c>
      <c r="BH113" s="43">
        <f>AR112+AM113*(AH115-AK113)</f>
        <v>-12015.931499999999</v>
      </c>
      <c r="BI113" s="43">
        <f>AR112+AM113*(AI115-AK113)</f>
        <v>6268.0684999999976</v>
      </c>
      <c r="BJ113" s="115">
        <f>S109*AO113</f>
        <v>0</v>
      </c>
      <c r="BK113" s="115">
        <f>T109*AO113</f>
        <v>0</v>
      </c>
      <c r="BL113" s="115">
        <f>U109*AO113</f>
        <v>0</v>
      </c>
      <c r="BM113" s="115">
        <f>V109*AO113</f>
        <v>0</v>
      </c>
      <c r="BN113" s="115">
        <f>W109*AO113</f>
        <v>0</v>
      </c>
      <c r="BO113" s="115">
        <f>X109*AO113</f>
        <v>0</v>
      </c>
      <c r="BP113" s="43">
        <f>Y109*AO113</f>
        <v>0</v>
      </c>
      <c r="BQ113" s="43">
        <f>Z109*AO113</f>
        <v>35130</v>
      </c>
      <c r="BR113" s="43">
        <f>AA109*AO113</f>
        <v>0</v>
      </c>
      <c r="BS113" s="43">
        <f>AB109*AO113</f>
        <v>35130</v>
      </c>
      <c r="BT113" s="43">
        <f>AC109*AO113</f>
        <v>0</v>
      </c>
      <c r="BU113" s="43">
        <f>AD109*AO113</f>
        <v>35130</v>
      </c>
      <c r="BV113" s="43">
        <f>AE109*AO113</f>
        <v>0</v>
      </c>
      <c r="BW113" s="43">
        <f>AF109*AO113</f>
        <v>0</v>
      </c>
      <c r="BX113" s="43">
        <f>AG109*AO113</f>
        <v>120847.2</v>
      </c>
      <c r="BY113" s="43" t="e">
        <f>AH109*AO113</f>
        <v>#REF!</v>
      </c>
      <c r="BZ113" s="43" t="e">
        <f>AI109*AO113</f>
        <v>#REF!</v>
      </c>
      <c r="CA113" s="44">
        <f>AN113*S111</f>
        <v>0</v>
      </c>
      <c r="CB113" s="44">
        <f>AN113*T111</f>
        <v>0</v>
      </c>
      <c r="CC113" s="44">
        <f>AN113*U111</f>
        <v>2029.3763999999999</v>
      </c>
      <c r="CD113" s="44">
        <f>AN113*V111</f>
        <v>0</v>
      </c>
      <c r="CE113" s="44">
        <f>AN113*W111</f>
        <v>1014.6881999999999</v>
      </c>
      <c r="CF113" s="44">
        <f>AN113*X111</f>
        <v>1014.6881999999999</v>
      </c>
      <c r="CG113" s="44">
        <f>AN113*Y111</f>
        <v>2029.3763999999999</v>
      </c>
      <c r="CH113" s="44">
        <f>AN113*Z111</f>
        <v>0</v>
      </c>
      <c r="CI113" s="44">
        <f>AN113*AA111</f>
        <v>2928.4414706693105</v>
      </c>
      <c r="CJ113" s="44">
        <f>AN113*AB111</f>
        <v>0</v>
      </c>
      <c r="CK113" s="44">
        <f>AN113*AC111</f>
        <v>0</v>
      </c>
      <c r="CL113" s="44">
        <f>AN113*AD111</f>
        <v>849.34846642677064</v>
      </c>
      <c r="CM113" s="44">
        <f>AN113*AE111</f>
        <v>0</v>
      </c>
      <c r="CN113" s="44">
        <f>AN113*AF111</f>
        <v>0</v>
      </c>
      <c r="CO113" s="44">
        <f>AN113*AG111</f>
        <v>0</v>
      </c>
      <c r="CP113" s="44">
        <f>AN113*AH111</f>
        <v>0</v>
      </c>
      <c r="CQ113" s="44">
        <f>AN113*AI111</f>
        <v>1.2638777622860378E-2</v>
      </c>
    </row>
    <row r="114" spans="4:116" ht="15.75" hidden="1" x14ac:dyDescent="0.25">
      <c r="D114" s="140">
        <f>D113-D113*H20</f>
        <v>207591.8670439405</v>
      </c>
      <c r="E114">
        <v>26</v>
      </c>
      <c r="F114" s="140">
        <f>F113+F113*(G15+G16+G17-Q113-H20)</f>
        <v>550314.02680511842</v>
      </c>
      <c r="G114" s="140">
        <f>F114*G16</f>
        <v>11061.311938782881</v>
      </c>
      <c r="H114" s="140">
        <f>F114*G17</f>
        <v>6603.7683216614214</v>
      </c>
      <c r="I114" s="140">
        <f>F114*G15</f>
        <v>27515.701340255924</v>
      </c>
      <c r="J114" s="140">
        <f>D114*G11</f>
        <v>12455.512022636429</v>
      </c>
      <c r="K114" s="117">
        <f>(G11*G6)/F114</f>
        <v>3.7505858463806156E-2</v>
      </c>
      <c r="L114" s="97">
        <f>(G114-C8-(G6*G7)+C7+H114)</f>
        <v>58622.840260444304</v>
      </c>
      <c r="M114" s="117">
        <f>IF(M87&lt;100,0,IF(L114&gt;M25,O26,IF(L114&gt;M24,O25,IF(L114&gt;M23,O24,IF(L114&gt;M22,O23,IF(L114&gt;M21,O22,IF(L114&gt;M20,O21,IF(L114&gt;M19,O20,IF(L114&gt;M18,O19,IF(L114&gt;M17,O18,IF(L114&gt;M16,O17,O16)))))))))))</f>
        <v>6.3899999999999998E-2</v>
      </c>
      <c r="N114" s="117">
        <f t="shared" si="124"/>
        <v>1.2843900000000001E-3</v>
      </c>
      <c r="O114" s="117">
        <f>(IF(L114&gt;M25,N26,IF(L114&gt;M24,N25,IF(L114&gt;M23,N24,IF(L114&gt;M22,N23,IF(L114&gt;M21,N22,IF(L114&gt;M20,N21,IF(L114&gt;M19,N20,IF(L114&gt;M18,N19,IF(L114&gt;M17,N18,IF(L114&gt;M16,N17,N16))))))))))*H114)/F114</f>
        <v>3.558E-3</v>
      </c>
      <c r="P114" s="117">
        <f t="shared" si="125"/>
        <v>4.8423900000000002E-3</v>
      </c>
      <c r="Q114" s="261">
        <f t="shared" si="120"/>
        <v>4.2348248463806158E-2</v>
      </c>
      <c r="R114" s="3" t="s">
        <v>41</v>
      </c>
      <c r="S114" s="97">
        <f t="shared" si="174"/>
        <v>0</v>
      </c>
      <c r="T114" s="97">
        <f t="shared" si="174"/>
        <v>0</v>
      </c>
      <c r="U114" s="97">
        <f t="shared" si="174"/>
        <v>0</v>
      </c>
      <c r="V114" s="97">
        <f t="shared" si="174"/>
        <v>0</v>
      </c>
      <c r="W114" s="97">
        <f t="shared" si="174"/>
        <v>0</v>
      </c>
      <c r="X114" s="97">
        <f t="shared" si="174"/>
        <v>0</v>
      </c>
      <c r="Y114" s="97">
        <f t="shared" si="174"/>
        <v>0</v>
      </c>
      <c r="Z114" s="97">
        <f t="shared" si="174"/>
        <v>0</v>
      </c>
      <c r="AA114" s="97">
        <f t="shared" si="175"/>
        <v>252.30651212583325</v>
      </c>
      <c r="AB114" s="97">
        <f t="shared" si="175"/>
        <v>0</v>
      </c>
      <c r="AC114" s="97">
        <f t="shared" si="175"/>
        <v>0</v>
      </c>
      <c r="AD114" s="97">
        <f t="shared" si="175"/>
        <v>1432.5336250512971</v>
      </c>
      <c r="AE114" s="97">
        <f t="shared" si="175"/>
        <v>0</v>
      </c>
      <c r="AF114" s="97" t="e">
        <f t="shared" si="175"/>
        <v>#VALUE!</v>
      </c>
      <c r="AG114" s="97">
        <f t="shared" si="175"/>
        <v>0</v>
      </c>
      <c r="AH114" s="97">
        <f t="shared" si="175"/>
        <v>0</v>
      </c>
      <c r="AI114" s="97">
        <f t="shared" ref="AI114" si="177">AI97</f>
        <v>0</v>
      </c>
      <c r="AJ114" s="16" t="s">
        <v>67</v>
      </c>
      <c r="AK114" s="118">
        <f t="shared" si="170"/>
        <v>104766</v>
      </c>
      <c r="AL114" s="119">
        <v>144489</v>
      </c>
      <c r="AM114" s="120">
        <v>0.47460000000000002</v>
      </c>
      <c r="AN114" s="122">
        <v>0.31769999999999998</v>
      </c>
      <c r="AO114" s="122">
        <v>0.37159999999999999</v>
      </c>
      <c r="AP114" s="13">
        <f t="shared" si="161"/>
        <v>39723</v>
      </c>
      <c r="AQ114" s="13">
        <f t="shared" si="162"/>
        <v>18852.535800000001</v>
      </c>
      <c r="AR114" s="97">
        <f t="shared" si="166"/>
        <v>54724.685800000007</v>
      </c>
      <c r="AS114" s="114">
        <f>AR113+AM114*(S115-AK114)</f>
        <v>9500.5263999999988</v>
      </c>
      <c r="AT114" s="114">
        <f>AR113+AM114*(T115-AK114)</f>
        <v>92455.860400000005</v>
      </c>
      <c r="AU114" s="115">
        <f>AR113+AM114*(U115-AK114)</f>
        <v>7547.9080960000028</v>
      </c>
      <c r="AV114" s="115">
        <f>AR113+AM114*(V115-AK114)</f>
        <v>96367.627504000004</v>
      </c>
      <c r="AW114" s="115">
        <f>AR113+AM114*(W115-AK114)</f>
        <v>10480.1008</v>
      </c>
      <c r="AX114" s="43">
        <f>AR113+AM114*(X115-AK114)</f>
        <v>93435.434800000003</v>
      </c>
      <c r="AY114" s="115">
        <f>AR113+AM114*(Y115-AK114)</f>
        <v>94415.0092</v>
      </c>
      <c r="AZ114" s="115">
        <f>AR113+AM114*(Z115-AK114)</f>
        <v>-13849.793599999997</v>
      </c>
      <c r="BA114" s="115">
        <f>AR113+AM114*(AA115-AK114)</f>
        <v>5253.951070654919</v>
      </c>
      <c r="BB114" s="43">
        <f>AR113+AM114*(AB115-AK114)</f>
        <v>-13849.793599999997</v>
      </c>
      <c r="BC114" s="43">
        <f>AR113+AM114*(AC115-AK114)</f>
        <v>5134.2063999999991</v>
      </c>
      <c r="BD114" s="43">
        <f>AR113+AM114*(AD115-AK114)</f>
        <v>-13169.913141550656</v>
      </c>
      <c r="BE114" s="43">
        <f>AR113+AM114*(AE115-AK114)</f>
        <v>5134.2063999999991</v>
      </c>
      <c r="BF114" s="43" t="e">
        <f>AR113+AM114*(AF115-AK114)</f>
        <v>#VALUE!</v>
      </c>
      <c r="BG114" s="43">
        <f>AR113+AM114*(AG115-AK114)</f>
        <v>92455.860400000005</v>
      </c>
      <c r="BH114" s="43">
        <f>AR113+AM114*(AH115-AK114)</f>
        <v>-13849.793599999997</v>
      </c>
      <c r="BI114" s="43">
        <f>AR113+AM114*(AI115-AK114)</f>
        <v>5134.2063999999991</v>
      </c>
      <c r="BJ114" s="115">
        <f>S109*AO114</f>
        <v>0</v>
      </c>
      <c r="BK114" s="147">
        <f>T109*AO114</f>
        <v>0</v>
      </c>
      <c r="BL114" s="115">
        <f>U109*AO114</f>
        <v>0</v>
      </c>
      <c r="BM114" s="115">
        <f>V109*AO114</f>
        <v>0</v>
      </c>
      <c r="BN114" s="115">
        <f>W109*AO114</f>
        <v>0</v>
      </c>
      <c r="BO114" s="115">
        <f>X109*AO114</f>
        <v>0</v>
      </c>
      <c r="BP114" s="43">
        <f>Y109*AO114</f>
        <v>0</v>
      </c>
      <c r="BQ114" s="43">
        <f>Z109*AO114</f>
        <v>37160</v>
      </c>
      <c r="BR114" s="43">
        <f>AA109*AO114</f>
        <v>0</v>
      </c>
      <c r="BS114" s="43">
        <f>AB109*AO114</f>
        <v>37160</v>
      </c>
      <c r="BT114" s="43">
        <f>AC109*AO114</f>
        <v>0</v>
      </c>
      <c r="BU114" s="43">
        <f>AD109*AO114</f>
        <v>37160</v>
      </c>
      <c r="BV114" s="43">
        <f>AE109*AO114</f>
        <v>0</v>
      </c>
      <c r="BW114" s="43">
        <f>AF109*AO114</f>
        <v>0</v>
      </c>
      <c r="BX114" s="43">
        <f>AG109*AO114</f>
        <v>127830.39999999999</v>
      </c>
      <c r="BY114" s="43" t="e">
        <f>AH109*AO114</f>
        <v>#REF!</v>
      </c>
      <c r="BZ114" s="43" t="e">
        <f>AI109*AO114</f>
        <v>#REF!</v>
      </c>
      <c r="CA114" s="44">
        <f>AN114*S111</f>
        <v>0</v>
      </c>
      <c r="CB114" s="44">
        <f>AN114*T111</f>
        <v>0</v>
      </c>
      <c r="CC114" s="44">
        <f>AN114*U111</f>
        <v>2196.7048799999998</v>
      </c>
      <c r="CD114" s="44">
        <f>AN114*V111</f>
        <v>0</v>
      </c>
      <c r="CE114" s="44">
        <f>AN114*W111</f>
        <v>1098.3524399999999</v>
      </c>
      <c r="CF114" s="44">
        <f>AN114*X111</f>
        <v>1098.3524399999999</v>
      </c>
      <c r="CG114" s="44">
        <f>AN114*Y111</f>
        <v>2196.7048799999998</v>
      </c>
      <c r="CH114" s="44">
        <f>AN114*Z111</f>
        <v>0</v>
      </c>
      <c r="CI114" s="44">
        <f>AN114*AA111</f>
        <v>3169.9006992560135</v>
      </c>
      <c r="CJ114" s="44">
        <f>AN114*AB111</f>
        <v>0</v>
      </c>
      <c r="CK114" s="44">
        <f>AN114*AC111</f>
        <v>0</v>
      </c>
      <c r="CL114" s="44">
        <f>AN114*AD111</f>
        <v>919.37992430591157</v>
      </c>
      <c r="CM114" s="44">
        <f>AN114*AE111</f>
        <v>0</v>
      </c>
      <c r="CN114" s="44">
        <f>AN114*AF111</f>
        <v>0</v>
      </c>
      <c r="CO114" s="44">
        <f>AN114*AG111</f>
        <v>0</v>
      </c>
      <c r="CP114" s="44">
        <f>AN114*AH111</f>
        <v>0</v>
      </c>
      <c r="CQ114" s="44">
        <f>AN114*AI111</f>
        <v>1.3680884670469309E-2</v>
      </c>
    </row>
    <row r="115" spans="4:116" ht="15.75" hidden="1" x14ac:dyDescent="0.25">
      <c r="E115" t="s">
        <v>210</v>
      </c>
      <c r="F115" s="130">
        <f>SUM(F89:F114)</f>
        <v>11782449.402436733</v>
      </c>
      <c r="G115">
        <f>SUM(G89:G114)</f>
        <v>236827.23298897839</v>
      </c>
      <c r="H115" s="140">
        <f>SUM(H89:H114)</f>
        <v>141389.39282924082</v>
      </c>
      <c r="I115" s="140">
        <f>SUM(I89:I114)</f>
        <v>589122.47012183676</v>
      </c>
      <c r="J115" s="140">
        <f>SUM(J89:J114)</f>
        <v>347183.71151263121</v>
      </c>
      <c r="K115" s="117">
        <f>SUMPRODUCT(K89:K114,F89:F114)/F115</f>
        <v>3.8824796472743124E-2</v>
      </c>
      <c r="N115" s="117">
        <f>IF(G115=0,0,SUMPRODUCT(N89:N114,G89:G114)/G115)</f>
        <v>1.2843899999999998E-3</v>
      </c>
      <c r="O115" s="117">
        <f>IF(H115=0,0,SUMPRODUCT(O89:O114,H89:H114)/H115)</f>
        <v>3.558E-3</v>
      </c>
      <c r="P115" s="117"/>
      <c r="Q115" s="261">
        <f>SUMPRODUCT(Q89:Q114,F89:F114)/F115</f>
        <v>4.3667186472743133E-2</v>
      </c>
      <c r="R115" s="14" t="s">
        <v>43</v>
      </c>
      <c r="S115" s="130">
        <f t="shared" ref="S115:Z115" si="178">S106-S107+S114</f>
        <v>49200</v>
      </c>
      <c r="T115" s="130">
        <f t="shared" si="178"/>
        <v>223990</v>
      </c>
      <c r="U115" s="130">
        <f t="shared" si="178"/>
        <v>45085.760000000002</v>
      </c>
      <c r="V115" s="130">
        <f t="shared" si="178"/>
        <v>232232.24</v>
      </c>
      <c r="W115" s="130">
        <f t="shared" si="178"/>
        <v>51264</v>
      </c>
      <c r="X115" s="130">
        <f t="shared" si="178"/>
        <v>226054</v>
      </c>
      <c r="Y115" s="130">
        <f t="shared" si="178"/>
        <v>228118</v>
      </c>
      <c r="Z115" s="130">
        <f t="shared" si="178"/>
        <v>0</v>
      </c>
      <c r="AA115" s="130">
        <f t="shared" ref="AA115:AH115" si="179">AA106-AA107+AA114</f>
        <v>40252.306512125833</v>
      </c>
      <c r="AB115" s="130">
        <f t="shared" si="179"/>
        <v>0</v>
      </c>
      <c r="AC115" s="130">
        <f t="shared" si="179"/>
        <v>40000</v>
      </c>
      <c r="AD115" s="130">
        <f t="shared" si="179"/>
        <v>1432.5336250512971</v>
      </c>
      <c r="AE115" s="130">
        <f t="shared" si="179"/>
        <v>40000</v>
      </c>
      <c r="AF115" s="130" t="e">
        <f t="shared" si="179"/>
        <v>#VALUE!</v>
      </c>
      <c r="AG115" s="130">
        <f t="shared" si="179"/>
        <v>223990</v>
      </c>
      <c r="AH115" s="130">
        <f t="shared" si="179"/>
        <v>0</v>
      </c>
      <c r="AI115" s="130">
        <f t="shared" ref="AI115" si="180">AI106-AI107+AI114</f>
        <v>40000</v>
      </c>
      <c r="AJ115">
        <f>IF(S115&lt;AL109,AM109,IF(S115&lt;AL110,AM110,IF(S115&lt;AL111,AM111,IF(S115&lt;AL112,AM112,IF(S115&lt;AL113,AM113,IF(S115&lt;AL114,AM114,IF(S115&lt;AL115,AM115,AM116)))))))</f>
        <v>0.37119999999999997</v>
      </c>
      <c r="AK115" s="67">
        <f t="shared" si="170"/>
        <v>144490</v>
      </c>
      <c r="AL115" s="123">
        <v>205842</v>
      </c>
      <c r="AM115" s="111">
        <v>0.49969999999999998</v>
      </c>
      <c r="AN115" s="113">
        <v>0.35220000000000001</v>
      </c>
      <c r="AO115" s="113">
        <v>0.4007</v>
      </c>
      <c r="AP115" s="13">
        <f t="shared" si="161"/>
        <v>61352</v>
      </c>
      <c r="AQ115" s="13">
        <f t="shared" si="162"/>
        <v>30657.594399999998</v>
      </c>
      <c r="AR115" s="97">
        <f t="shared" si="166"/>
        <v>85382.280200000008</v>
      </c>
      <c r="AS115" s="114">
        <f>AR114+AM115*(S115-AK115)</f>
        <v>7108.2728000000061</v>
      </c>
      <c r="AT115" s="114">
        <f>AR114+AM115*(T115-AK115)</f>
        <v>94450.835800000001</v>
      </c>
      <c r="AU115" s="115">
        <f>AR114+AM115*(U115-AK115)</f>
        <v>5052.3870720000123</v>
      </c>
      <c r="AV115" s="115">
        <f>AR114+AM115*(V115-AK115)</f>
        <v>98569.483127999993</v>
      </c>
      <c r="AW115" s="115">
        <f>AR114+AM115*(W115-AK115)</f>
        <v>8139.6536000000051</v>
      </c>
      <c r="AX115" s="43">
        <f>AR114+AM115*(X115-AK115)</f>
        <v>95482.216600000014</v>
      </c>
      <c r="AY115" s="115">
        <f>AR114+AM115*(Y115-AK115)</f>
        <v>96513.597399999999</v>
      </c>
      <c r="AZ115" s="115">
        <f>AR114+AM115*(Z115-AK115)</f>
        <v>-17476.967199999985</v>
      </c>
      <c r="BA115" s="115">
        <f>AR114+AM115*(AA115-AK115)</f>
        <v>2637.110364109285</v>
      </c>
      <c r="BB115" s="43">
        <f>AR114+AM115*(AB115-AK115)</f>
        <v>-17476.967199999985</v>
      </c>
      <c r="BC115" s="43">
        <f>AR114+AM115*(AC115-AK115)</f>
        <v>2511.0328000000081</v>
      </c>
      <c r="BD115" s="43">
        <f>AR114+AM115*(AD115-AK115)</f>
        <v>-16761.130147561853</v>
      </c>
      <c r="BE115" s="43">
        <f>AR114+AM115*(AE115-AK115)</f>
        <v>2511.0328000000081</v>
      </c>
      <c r="BF115" s="43" t="e">
        <f>AR114+AM115*(AF115-AK115)</f>
        <v>#VALUE!</v>
      </c>
      <c r="BG115" s="43">
        <f>AR114+AM115*(AG115-AK115)</f>
        <v>94450.835800000001</v>
      </c>
      <c r="BH115" s="43">
        <f>AR114+AM115*(AH115-AK115)</f>
        <v>-17476.967199999985</v>
      </c>
      <c r="BI115" s="43">
        <f>AR114+AM115*(AI115-AK115)</f>
        <v>2511.0328000000081</v>
      </c>
      <c r="BJ115" s="115">
        <f>S109*AO115</f>
        <v>0</v>
      </c>
      <c r="BK115" s="147">
        <f>T109*AO115</f>
        <v>0</v>
      </c>
      <c r="BL115" s="115">
        <f>U109*AO115</f>
        <v>0</v>
      </c>
      <c r="BM115" s="115">
        <f>V109*AO115</f>
        <v>0</v>
      </c>
      <c r="BN115" s="115">
        <f>W109*AO115</f>
        <v>0</v>
      </c>
      <c r="BO115" s="115">
        <f>X109*AO115</f>
        <v>0</v>
      </c>
      <c r="BP115" s="43">
        <f>Y109*AO115</f>
        <v>0</v>
      </c>
      <c r="BQ115" s="43">
        <f>Z109*AO115</f>
        <v>40070</v>
      </c>
      <c r="BR115" s="43">
        <f>AA109*AO115</f>
        <v>0</v>
      </c>
      <c r="BS115" s="43">
        <f>AB109*AO115</f>
        <v>40070</v>
      </c>
      <c r="BT115" s="43">
        <f>AC109*AO115</f>
        <v>0</v>
      </c>
      <c r="BU115" s="43">
        <f>AD109*AO115</f>
        <v>40070</v>
      </c>
      <c r="BV115" s="43">
        <f>AE109*AO115</f>
        <v>0</v>
      </c>
      <c r="BW115" s="43">
        <f>AF109*AO115</f>
        <v>0</v>
      </c>
      <c r="BX115" s="43">
        <f>AG109*AO115</f>
        <v>137840.79999999999</v>
      </c>
      <c r="BY115" s="43" t="e">
        <f>AH109*AO115</f>
        <v>#REF!</v>
      </c>
      <c r="BZ115" s="43" t="e">
        <f>AI109*AO115</f>
        <v>#REF!</v>
      </c>
      <c r="CA115" s="44">
        <f>AN115*S111</f>
        <v>0</v>
      </c>
      <c r="CB115" s="44">
        <f>AN115*T111</f>
        <v>0</v>
      </c>
      <c r="CC115" s="44">
        <f>AN115*U111</f>
        <v>2435.2516799999999</v>
      </c>
      <c r="CD115" s="44">
        <f>AN115*V111</f>
        <v>0</v>
      </c>
      <c r="CE115" s="44">
        <f>AN115*W111</f>
        <v>1217.6258399999999</v>
      </c>
      <c r="CF115" s="44">
        <f>AN115*X111</f>
        <v>1217.6258399999999</v>
      </c>
      <c r="CG115" s="44">
        <f>AN115*Y111</f>
        <v>2435.2516799999999</v>
      </c>
      <c r="CH115" s="44">
        <f>AN115*Z111</f>
        <v>0</v>
      </c>
      <c r="CI115" s="44">
        <f>AN115*AA111</f>
        <v>3514.1297648031732</v>
      </c>
      <c r="CJ115" s="44">
        <f>AN115*AB111</f>
        <v>0</v>
      </c>
      <c r="CK115" s="44">
        <f>AN115*AC111</f>
        <v>0</v>
      </c>
      <c r="CL115" s="44">
        <f>AN115*AD111</f>
        <v>1019.2181597121249</v>
      </c>
      <c r="CM115" s="44">
        <f>AN115*AE111</f>
        <v>0</v>
      </c>
      <c r="CN115" s="44">
        <f>AN115*AF111</f>
        <v>0</v>
      </c>
      <c r="CO115" s="44">
        <f>AN115*AG111</f>
        <v>0</v>
      </c>
      <c r="CP115" s="44">
        <f>AN115*AH111</f>
        <v>0</v>
      </c>
      <c r="CQ115" s="44">
        <f>AN115*AI111</f>
        <v>1.5166533147432456E-2</v>
      </c>
    </row>
    <row r="116" spans="4:116" ht="15.75" hidden="1" x14ac:dyDescent="0.25">
      <c r="Q116" s="2"/>
      <c r="R116" s="3" t="s">
        <v>45</v>
      </c>
      <c r="S116" s="97">
        <f t="shared" ref="S116:Z116" si="181">(S106-S107)+S110+S112+S114</f>
        <v>49200</v>
      </c>
      <c r="T116" s="135">
        <f t="shared" si="181"/>
        <v>223990</v>
      </c>
      <c r="U116" s="97">
        <f t="shared" si="181"/>
        <v>54627.631999999998</v>
      </c>
      <c r="V116" s="135">
        <f t="shared" si="181"/>
        <v>232232.24</v>
      </c>
      <c r="W116" s="97">
        <f t="shared" si="181"/>
        <v>56034.936000000002</v>
      </c>
      <c r="X116" s="135">
        <f t="shared" si="181"/>
        <v>230824.93599999999</v>
      </c>
      <c r="Y116" s="135">
        <f t="shared" si="181"/>
        <v>237659.872</v>
      </c>
      <c r="Z116" s="135">
        <f t="shared" si="181"/>
        <v>115999.99999999999</v>
      </c>
      <c r="AA116" s="135">
        <f t="shared" ref="AA116:AH116" si="182">(AA106-AA107)+AA110+AA112+AA114</f>
        <v>54021.469134012201</v>
      </c>
      <c r="AB116" s="135">
        <f t="shared" si="182"/>
        <v>115999.99999999999</v>
      </c>
      <c r="AC116" s="135">
        <f t="shared" si="182"/>
        <v>40000</v>
      </c>
      <c r="AD116" s="135">
        <f t="shared" si="182"/>
        <v>121426.06304129981</v>
      </c>
      <c r="AE116" s="135">
        <f t="shared" si="182"/>
        <v>40000</v>
      </c>
      <c r="AF116" s="135" t="e">
        <f t="shared" si="182"/>
        <v>#VALUE!</v>
      </c>
      <c r="AG116" s="135">
        <f t="shared" si="182"/>
        <v>623030</v>
      </c>
      <c r="AH116" s="135" t="e">
        <f t="shared" si="182"/>
        <v>#REF!</v>
      </c>
      <c r="AI116" s="135" t="e">
        <f t="shared" ref="AI116" si="183">(AI106-AI107)+AI110+AI112+AI114</f>
        <v>#REF!</v>
      </c>
      <c r="AJ116">
        <f>AJ115*0.5</f>
        <v>0.18559999999999999</v>
      </c>
      <c r="AK116" s="118">
        <f t="shared" si="170"/>
        <v>205843</v>
      </c>
      <c r="AL116" s="119">
        <v>205843</v>
      </c>
      <c r="AM116" s="120">
        <v>0.53310000000000002</v>
      </c>
      <c r="AN116" s="122">
        <v>0.39829999999999999</v>
      </c>
      <c r="AO116" s="122">
        <v>0.43940000000000001</v>
      </c>
      <c r="AP116" s="13"/>
      <c r="AQ116" s="13"/>
      <c r="AR116" s="97"/>
      <c r="AS116" s="114">
        <f>AR115+AM116*(S115-AK116)</f>
        <v>1875.896900000007</v>
      </c>
      <c r="AT116" s="114">
        <f>AR115+AM116*(T115-AK116)</f>
        <v>95056.445900000006</v>
      </c>
      <c r="AU116" s="115">
        <f>AR115+AM116*(U115-AK116)</f>
        <v>-317.40444399998523</v>
      </c>
      <c r="AV116" s="115">
        <f>AR115+AM116*(V115-AK116)</f>
        <v>99450.384044000006</v>
      </c>
      <c r="AW116" s="115">
        <f>AR115+AM116*(W115-AK116)</f>
        <v>2976.2153000000108</v>
      </c>
      <c r="AX116" s="43">
        <f>AR115+AM116*(X115-AK116)</f>
        <v>96156.76430000001</v>
      </c>
      <c r="AY116" s="115">
        <f>AR115+AM116*(Y115-AK116)</f>
        <v>97257.082700000014</v>
      </c>
      <c r="AZ116" s="115">
        <f>AR115+AM116*(Z115-AK116)</f>
        <v>-24352.623099999997</v>
      </c>
      <c r="BA116" s="115">
        <f>AR115+AM116*(AA115-AK116)</f>
        <v>-2894.1184983857238</v>
      </c>
      <c r="BB116" s="43">
        <f>AR115+AM116*(AB115-AK116)</f>
        <v>-24352.623099999997</v>
      </c>
      <c r="BC116" s="43">
        <f>AR115+AM116*(AC115-AK116)</f>
        <v>-3028.6230999999971</v>
      </c>
      <c r="BD116" s="43">
        <f>AR115+AM116*(AD115-AK116)</f>
        <v>-23588.939424485157</v>
      </c>
      <c r="BE116" s="43">
        <f>AR115+AM116*(AE115-AK116)</f>
        <v>-3028.6230999999971</v>
      </c>
      <c r="BF116" s="43" t="e">
        <f>AR115+AM116*(AF115-AK116)</f>
        <v>#VALUE!</v>
      </c>
      <c r="BG116" s="43">
        <f>AR115+AM116*(AG115-AK116)</f>
        <v>95056.445900000006</v>
      </c>
      <c r="BH116" s="43">
        <f>AR115+AM116*(AH115-AK116)</f>
        <v>-24352.623099999997</v>
      </c>
      <c r="BI116" s="43">
        <f>AR115+AM116*(AI115-AK116)</f>
        <v>-3028.6230999999971</v>
      </c>
      <c r="BJ116" s="115">
        <f>S109*AO116</f>
        <v>0</v>
      </c>
      <c r="BK116" s="115">
        <f>T109*AO116</f>
        <v>0</v>
      </c>
      <c r="BL116" s="115">
        <f>U109*AO116</f>
        <v>0</v>
      </c>
      <c r="BM116" s="115">
        <f>V109*AO116</f>
        <v>0</v>
      </c>
      <c r="BN116" s="115">
        <f>W109*AO116</f>
        <v>0</v>
      </c>
      <c r="BO116" s="115">
        <f>X109*AO116</f>
        <v>0</v>
      </c>
      <c r="BP116" s="43">
        <f>Y109*AO116</f>
        <v>0</v>
      </c>
      <c r="BQ116" s="43">
        <f>Z109*AO116</f>
        <v>43940</v>
      </c>
      <c r="BR116" s="43">
        <f>AA109*AO116</f>
        <v>0</v>
      </c>
      <c r="BS116" s="43">
        <f>AB109*AO116</f>
        <v>43940</v>
      </c>
      <c r="BT116" s="43">
        <f>AC109*AO116</f>
        <v>0</v>
      </c>
      <c r="BU116" s="43">
        <f>AD109*AO116</f>
        <v>43940</v>
      </c>
      <c r="BV116" s="43">
        <f>AE109*AO116</f>
        <v>0</v>
      </c>
      <c r="BW116" s="43">
        <f>AF109*AO116</f>
        <v>0</v>
      </c>
      <c r="BX116" s="43">
        <f>AG109*AO116</f>
        <v>151153.60000000001</v>
      </c>
      <c r="BY116" s="43" t="e">
        <f>AH109*AO116</f>
        <v>#REF!</v>
      </c>
      <c r="BZ116" s="43" t="e">
        <f>AI109*AO116</f>
        <v>#REF!</v>
      </c>
      <c r="CA116" s="44">
        <f>AN116*S111</f>
        <v>0</v>
      </c>
      <c r="CB116" s="44">
        <f>AN116*T111</f>
        <v>0</v>
      </c>
      <c r="CC116" s="44">
        <f>AN116*U111</f>
        <v>2754.0055199999997</v>
      </c>
      <c r="CD116" s="44">
        <f>AN116*V111</f>
        <v>0</v>
      </c>
      <c r="CE116" s="44">
        <f>AN116*W111</f>
        <v>1377.0027599999999</v>
      </c>
      <c r="CF116" s="44">
        <f>AN116*X111</f>
        <v>1377.0027599999999</v>
      </c>
      <c r="CG116" s="44">
        <f>AN116*Y111</f>
        <v>2754.0055199999997</v>
      </c>
      <c r="CH116" s="44">
        <f>AN116*Z111</f>
        <v>0</v>
      </c>
      <c r="CI116" s="44">
        <f>AN116*AA111</f>
        <v>3974.0996176067683</v>
      </c>
      <c r="CJ116" s="44">
        <f>AN116*AB111</f>
        <v>0</v>
      </c>
      <c r="CK116" s="44">
        <f>AN116*AC111</f>
        <v>0</v>
      </c>
      <c r="CL116" s="44">
        <f>AN116*AD111</f>
        <v>1152.6251931099923</v>
      </c>
      <c r="CM116" s="44">
        <f>AN116*AE111</f>
        <v>0</v>
      </c>
      <c r="CN116" s="44">
        <f>AN116*AF111</f>
        <v>0</v>
      </c>
      <c r="CO116" s="44">
        <f>AN116*AG111</f>
        <v>0</v>
      </c>
      <c r="CP116" s="44">
        <f>AN116*AH111</f>
        <v>0</v>
      </c>
      <c r="CQ116" s="44">
        <f>AN116*AI111</f>
        <v>1.7151704010852774E-2</v>
      </c>
    </row>
    <row r="117" spans="4:116" ht="15.75" hidden="1" x14ac:dyDescent="0.25">
      <c r="M117" t="s">
        <v>209</v>
      </c>
      <c r="N117" s="117">
        <f>N115+O115</f>
        <v>4.8423900000000002E-3</v>
      </c>
      <c r="Q117" s="2"/>
      <c r="R117" s="3" t="s">
        <v>46</v>
      </c>
      <c r="S117" s="135">
        <f>IF(S116&lt;AL109,AS109,IF(S116&lt;AL110,AS110,IF(S116&lt;AL111,AS111,IF(S116&lt;AL112,AS112,IF(S116&lt;AL113,AS113,IF(S116&lt;AL114,AS114,IF(S116&lt;AL115,AS115,AS116)))))))</f>
        <v>13970.423999999999</v>
      </c>
      <c r="T117" s="135">
        <f>IF(T116&lt;AL109,AT109,IF(T116&lt;AL110,AT110,IF(T116&lt;AL111,AT111,IF(T116&lt;AL112,AT112,IF(T116&lt;AL113,AT113,IF(T116&lt;AL114,AT114,IF(T116&lt;AL115,AT115,AT116)))))))</f>
        <v>95056.445900000006</v>
      </c>
      <c r="U117" s="135">
        <f>IF(U116&lt;AL109,AU109,IF(U116&lt;AL110,AU110,IF(U116&lt;AL111,AU111,IF(U116&lt;AL112,AU112,IF(U116&lt;AL113,AU113,IF(U116&lt;AL114,AU114,IF(U116&lt;AL115,AU115,AU116)))))))</f>
        <v>12443.218112</v>
      </c>
      <c r="V117" s="135">
        <f>IF(V116&lt;AL109,AV109,IF(V116&lt;AL110,AV110,IF(V116&lt;AL111,AV111,IF(V116&lt;AL112,AV112,IF(V116&lt;AL113,AV113,IF(V116&lt;AL114,AV114,IF(V116&lt;AL115,AV115,AV116)))))))</f>
        <v>99450.384044000006</v>
      </c>
      <c r="W117" s="135">
        <f>IF(W116&lt;AL109,AW109,IF(W116&lt;AL110,AW110,IF(W116&lt;AL111,AW111,IF(W116&lt;AL112,AW112,IF(W116&lt;AL113,AW113,IF(W116&lt;AL114,AW114,IF(W116&lt;AL115,AW115,AW116)))))))</f>
        <v>14736.5808</v>
      </c>
      <c r="X117" s="135">
        <f>IF(X116&lt;AL109,AX109,IF(X116&lt;AL110,AX110,IF(X116&lt;AL111,AX111,IF(X116&lt;AL112,AX112,IF(X116&lt;AL113,AX113,IF(X116&lt;AL114,AX114,IF(X116&lt;AL115,AX115,AX116)))))))</f>
        <v>96156.76430000001</v>
      </c>
      <c r="Y117" s="135">
        <f>IF(Y116&lt;AL109,AY109,IF(Y116&lt;AL110,AY110,IF(Y116&lt;AL111,AY111,IF(Y116&lt;AL112,AY112,IF(Y116&lt;AL113,AY113,IF(Y116&lt;AL114,AY114,IF(Y116&lt;AL115,AY115,AY116)))))))</f>
        <v>97257.082700000014</v>
      </c>
      <c r="Z117" s="135">
        <f>IF(Z116&lt;AL109,AZ109,IF(Z116&lt;AL110,AZ110,IF(Z116&lt;AL111,AZ111,IF(Z116&lt;AL112,AZ112,IF(Z116&lt;AL113,AZ113,IF(Z116&lt;AL114,AZ114,IF(Z116&lt;AL115,AZ115,AZ116)))))))</f>
        <v>-13849.793599999997</v>
      </c>
      <c r="AA117" s="135">
        <f>IF(AA116&lt;AL109,BA109,IF(AA116&lt;AL110,BA110,IF(AA116&lt;AL111,BA111,IF(AA116&lt;AL112,BA112,IF(AA116&lt;AL113,BA113,IF(AA116&lt;AL114,BA114,IF(AA116&lt;AL115,BA115,BA116)))))))</f>
        <v>10649.040177301109</v>
      </c>
      <c r="AB117" s="135">
        <f>IF(AB116&lt;AL109,BB109,IF(AB116&lt;AL110,BB110,IF(AB116&lt;AL111,BB111,IF(AB116&lt;AL112,BB112,IF(AB116&lt;AL113,BB113,IF(AB116&lt;AL114,BB114,IF(AB116&lt;AL115,BB115,BB116)))))))</f>
        <v>-13849.793599999997</v>
      </c>
      <c r="AC117" s="135">
        <f>IF(AC116&lt;AL109,BC109,IF(AC116&lt;AL110,BC110,IF(AC116&lt;AL111,BC111,IF(AC116&lt;AL112,BC112,IF(AC116&lt;AL113,BC113,IF(AC116&lt;AL114,BC114,IF(AC116&lt;AL115,BC115,BC116)))))))</f>
        <v>11012</v>
      </c>
      <c r="AD117" s="135">
        <f>IF(AD116&lt;AL109,BD109,IF(AD116&lt;AL110,BD110,IF(AD116&lt;AL111,BD111,IF(AD116&lt;AL112,BD112,IF(AD116&lt;AL113,BD113,IF(AD116&lt;AL114,BD114,IF(AD116&lt;AL115,BD115,BD116)))))))</f>
        <v>-13169.913141550656</v>
      </c>
      <c r="AE117" s="135">
        <f>IF(AE116&lt;AL109,BE109,IF(AE116&lt;AL110,BE110,IF(AE116&lt;AL111,BE111,IF(AE116&lt;AL112,BE112,IF(AE116&lt;AL113,BE113,IF(AE116&lt;AL114,BE114,IF(AE116&lt;AL115,BE115,BE116)))))))</f>
        <v>11012</v>
      </c>
      <c r="AF117" s="135" t="e">
        <f>IF(AF116&lt;AL109,BF109,IF(AF116&lt;AL110,BF110,IF(AF116&lt;AL111,BF111,IF(AF116&lt;AL112,BF112,IF(AF116&lt;AL113,BF113,IF(AF116&lt;AL114,BF114,IF(AF116&lt;AL115,BF115,BF116)))))))</f>
        <v>#VALUE!</v>
      </c>
      <c r="AG117" s="135">
        <f>IF(AG116&lt;AL109,BG109,IF(AG116&lt;AL110,BG110,IF(AG116&lt;AL111,BG111,IF(AG116&lt;AL112,BG112,IF(AG116&lt;AL113,BG113,IF(AG116&lt;AL114,BG114,IF(AG116&lt;AL115,BG115,BG116)))))))</f>
        <v>95056.445900000006</v>
      </c>
      <c r="AH117" s="135" t="e">
        <f>IF(AH116&lt;AL109,BH109,IF(AH116&lt;AL110,BH110,IF(AH116&lt;AL111,BH111,IF(AH116&lt;AL112,BH112,IF(AH116&lt;AL113,BH113,IF(AH116&lt;AL114,BH114,IF(AH116&lt;AL115,BH115,BH116)))))))</f>
        <v>#REF!</v>
      </c>
      <c r="AI117" s="135" t="e">
        <f>IF(AI116&lt;AL109,BI109,IF(AI116&lt;AL110,BI110,IF(AI116&lt;AL111,BI111,IF(AI116&lt;AL112,BI112,IF(AI116&lt;AL113,BI113,IF(AI116&lt;AL114,BI114,IF(AI116&lt;AL115,BI115,BI116)))))))</f>
        <v>#REF!</v>
      </c>
      <c r="AJ117" s="8">
        <f>IF(S116&lt;AL109,AN109,IF(S116&lt;AL110,AN110,IF(S116&lt;AL111,AN111,IF(S116&lt;AL112,AN112,IF(S116&lt;AL113,AN113,IF(S116&lt;AL114,AN114,IF(S116&lt;AL115,AN115,AN116)))))))</f>
        <v>0.1749</v>
      </c>
      <c r="AK117" s="67"/>
      <c r="AL117" s="119">
        <v>205843</v>
      </c>
      <c r="AM117" s="120">
        <v>0.53310000000000002</v>
      </c>
      <c r="AN117" s="122">
        <v>0.39829999999999999</v>
      </c>
      <c r="AO117" s="122">
        <v>0.43940000000000001</v>
      </c>
      <c r="AP117" s="13"/>
      <c r="AQ117" s="13"/>
      <c r="AR117" s="97"/>
      <c r="AS117" s="114"/>
      <c r="AT117" s="114"/>
      <c r="AU117" s="115">
        <f>AR116+AM117*(U115-AK117)</f>
        <v>24035.218656000001</v>
      </c>
      <c r="AV117" s="115">
        <f>AR116+AM117*(V115-AK117)</f>
        <v>123803.007144</v>
      </c>
      <c r="AW117" s="115">
        <f>AR116+AM117*(W115-AK117)</f>
        <v>27328.838400000001</v>
      </c>
      <c r="AX117" s="43">
        <f>AR116+AM117*(X115-AK117)</f>
        <v>120509.38740000001</v>
      </c>
      <c r="AY117" s="115">
        <f>AR116+AM117*(Y115-AK117)</f>
        <v>121609.70580000001</v>
      </c>
      <c r="AZ117" s="115">
        <f>AR116+AM117*(Z115-AK117)</f>
        <v>0</v>
      </c>
      <c r="BA117" s="115">
        <f>AR116+AM117*(AA115-AK117)</f>
        <v>21458.504601614284</v>
      </c>
      <c r="BB117" s="43">
        <f>AR116+AM117*(AB115-AK117)</f>
        <v>0</v>
      </c>
      <c r="BC117" s="43">
        <f>AR116+AM117*(AC115-AK117)</f>
        <v>21324</v>
      </c>
      <c r="BD117" s="43">
        <f>AR116+AM117*(AD115-AK117)</f>
        <v>763.68367551484653</v>
      </c>
      <c r="BE117" s="43">
        <f>AR116+AM117*(AE115-AK117)</f>
        <v>21324</v>
      </c>
      <c r="BF117" s="43" t="e">
        <f>AR116+AM117*(AF115-AK117)</f>
        <v>#VALUE!</v>
      </c>
      <c r="BG117" s="43">
        <f>AR116+AM117*(AG115-AK117)</f>
        <v>119409.069</v>
      </c>
      <c r="BH117" s="43">
        <f>AR116+AM117*(AH115-AK117)</f>
        <v>0</v>
      </c>
      <c r="BI117" s="43">
        <f>AR116+AM117*(AI115-AK117)</f>
        <v>21324</v>
      </c>
      <c r="BJ117" s="115">
        <f>S109*AO117</f>
        <v>0</v>
      </c>
      <c r="BK117" s="115">
        <f>T109*AO117</f>
        <v>0</v>
      </c>
      <c r="BL117" s="115">
        <f>U109*AO117</f>
        <v>0</v>
      </c>
      <c r="BM117" s="115">
        <f>V109*AO117</f>
        <v>0</v>
      </c>
      <c r="BN117" s="115">
        <f>W109*AO117</f>
        <v>0</v>
      </c>
      <c r="BO117" s="115">
        <f>X109*AO117</f>
        <v>0</v>
      </c>
      <c r="BP117" s="43">
        <f>Y109*AO117</f>
        <v>0</v>
      </c>
      <c r="BQ117" s="43">
        <f>Z109*AO117</f>
        <v>43940</v>
      </c>
      <c r="BR117" s="43">
        <f>AA109*AO117</f>
        <v>0</v>
      </c>
      <c r="BS117" s="43">
        <f>AB109*AO117</f>
        <v>43940</v>
      </c>
      <c r="BT117" s="43">
        <f>AC109*AO117</f>
        <v>0</v>
      </c>
      <c r="BU117" s="43">
        <f>AD109*AO117</f>
        <v>43940</v>
      </c>
      <c r="BV117" s="43">
        <f>AE109*AO117</f>
        <v>0</v>
      </c>
      <c r="BW117" s="43">
        <f>AF109*AO117</f>
        <v>0</v>
      </c>
      <c r="BX117" s="43">
        <f>AG109*AO117</f>
        <v>151153.60000000001</v>
      </c>
      <c r="BY117" s="43" t="e">
        <f>AH109*AO117</f>
        <v>#REF!</v>
      </c>
      <c r="BZ117" s="43" t="e">
        <f>AI109*AO117</f>
        <v>#REF!</v>
      </c>
      <c r="CA117" s="44">
        <f>AN117*S111</f>
        <v>0</v>
      </c>
      <c r="CB117" s="44">
        <f>AN117*T111</f>
        <v>0</v>
      </c>
      <c r="CC117" s="44">
        <f>AN117*U111</f>
        <v>2754.0055199999997</v>
      </c>
      <c r="CD117" s="44">
        <f>AN117*V111</f>
        <v>0</v>
      </c>
      <c r="CE117" s="44">
        <f>AN117*W111</f>
        <v>1377.0027599999999</v>
      </c>
      <c r="CF117" s="44">
        <f>AN117*X111</f>
        <v>1377.0027599999999</v>
      </c>
      <c r="CG117" s="44">
        <f>AN117*Y111</f>
        <v>2754.0055199999997</v>
      </c>
      <c r="CH117" s="44">
        <f>AN117*Z111</f>
        <v>0</v>
      </c>
      <c r="CI117" s="44">
        <f>AN117*AA111</f>
        <v>3974.0996176067683</v>
      </c>
      <c r="CJ117" s="44">
        <f>AN117*AB111</f>
        <v>0</v>
      </c>
      <c r="CK117" s="44">
        <f>AN117*AC111</f>
        <v>0</v>
      </c>
      <c r="CL117" s="44">
        <f>AN117*AD111</f>
        <v>1152.6251931099923</v>
      </c>
      <c r="CM117" s="44">
        <f>AN117*AE111</f>
        <v>0</v>
      </c>
      <c r="CN117" s="44">
        <f>AN117*AF111</f>
        <v>0</v>
      </c>
      <c r="CO117" s="44">
        <f>AN117*AG111</f>
        <v>0</v>
      </c>
      <c r="CP117" s="44">
        <f>AN117*AH111</f>
        <v>0</v>
      </c>
      <c r="CQ117" s="44">
        <f>AN117*AI111</f>
        <v>1.7151704010852774E-2</v>
      </c>
    </row>
    <row r="118" spans="4:116" ht="15.75" hidden="1" x14ac:dyDescent="0.25">
      <c r="G118">
        <f>IF(I24="Year 15",G134,IF(I24="Year 16",G135,IF(I24="Year 17",G136,IF(I24="Year 18",G137,IF(I24="Year 19",G138,IF(I24="Year 20",G139,IF(I24="Year 21",G140,IF(I24="Year 22",G141,IF(I24="Year 23",G142,IF(I24="Year 24",G143,G144))))))))))</f>
        <v>378317.2513868945</v>
      </c>
      <c r="Q118" s="2"/>
      <c r="R118" s="3" t="s">
        <v>70</v>
      </c>
      <c r="S118" s="8">
        <f>IF(S116&lt;AL109,BJ109,IF(S116&lt;AL110,BJ110,IF(S116&lt;AL111,BJ111,IF(S116&lt;AL112,BJ112,IF(S116&lt;AL113,BJ113,IF(S116&lt;AL114,BJ114,IF(S116&lt;AL115,BJ115,BJ116)))))))</f>
        <v>0</v>
      </c>
      <c r="T118" s="8">
        <f>IF(T116&lt;AL109,BK109,IF(T116&lt;AL110,BK110,IF(T116&lt;AL111,BK111,IF(T116&lt;AL112,BK112,IF(T116&lt;AL113,BK113,IF(T116&lt;AL114,BK114,IF(T116&lt;AL115,BK115,BK116)))))))</f>
        <v>0</v>
      </c>
      <c r="U118" s="8">
        <f>IF(U116&lt;AL109,BL109,IF(U116&lt;AL110,BL110,IF(U116&lt;AL111,BL111,IF(U116&lt;AL112,BL112,IF(U116&lt;AL113,BL113,IF(U116&lt;AL114,BL114,IF(U116&lt;AL115,BL115,BL116)))))))</f>
        <v>0</v>
      </c>
      <c r="V118" s="8">
        <f>IF(V116&lt;AL109,BM109,IF(V116&lt;AL110,BM110,IF(V116&lt;AL111,BM111,IF(V116&lt;AL112,BM112,IF(V116&lt;AL113,BM113,IF(V116&lt;AL114,BM114,IF(V116&lt;AL115,BM115,BM116)))))))</f>
        <v>0</v>
      </c>
      <c r="W118" s="2">
        <f>IF(W116&lt;AL109,BN109,IF(W116&lt;AL110,BN110,IF(W116&lt;AL111,BN111,IF(W116&lt;AL112,BN112,IF(W116&lt;AL113,BN113,IF(W116&lt;AL114,BN114,IF(W116&lt;AL115,BN115,BN116)))))))</f>
        <v>0</v>
      </c>
      <c r="X118" s="2">
        <f>IF(X116&lt;AL109,BO109,IF(X116&lt;AL110,BO110,IF(X116&lt;AL111,BO111,IF(X116&lt;AL112,BO112,IF(X116&lt;AL113,BO113,IF(X116&lt;AL114,BO114,IF(X116&lt;AL115,BO115,BO116)))))))</f>
        <v>0</v>
      </c>
      <c r="Y118" s="2">
        <f>IF(Y116&lt;AL109,BP109,IF(Y116&lt;AL110,BP110,IF(Y116&lt;AL111,BP111,IF(Y116&lt;AL112,BP112,IF(Y116&lt;AL113,BP113,IF(Y116&lt;AL114,BP114,IF(Y116&lt;AL115,BP115,BP116)))))))</f>
        <v>0</v>
      </c>
      <c r="Z118" s="2">
        <f>IF(Z116&lt;AL109,BQ109,IF(Z116&lt;AL110,BQ110,IF(Z116&lt;AL111,BQ111,IF(Z116&lt;AL112,BQ112,IF(Z116&lt;AL113,BQ113,IF(Z116&lt;AL114,BQ114,IF(Z116&lt;AL115,BQ115,BQ116)))))))</f>
        <v>37160</v>
      </c>
      <c r="AA118" s="2">
        <f>IF(AA116&lt;AL109,BR109,IF(AA116&lt;AL110,BR110,IF(AA116&lt;AL111,BR111,IF(AA116&lt;AL112,BR112,IF(AA116&lt;AL113,BR113,IF(AA116&lt;AL114,BR114,IF(AA116&lt;AL115,BR115,BR116)))))))</f>
        <v>0</v>
      </c>
      <c r="AB118" s="2">
        <f>IF(AB116&lt;AL109,BS109,IF(AB116&lt;AL110,BS110,IF(AB116&lt;AL111,BS111,IF(AB116&lt;AL112,BS112,IF(AB116&lt;AL113,BS113,IF(AB116&lt;AL114,BS114,IF(AB116&lt;AL115,BS115,BS116)))))))</f>
        <v>37160</v>
      </c>
      <c r="AC118" s="2">
        <f>IF(AC116&lt;AL109,BT109,IF(AC116&lt;AL110,BT110,IF(AC116&lt;AL111,BT111,IF(AC116&lt;AL112,BT112,IF(AC116&lt;AL113,BT113,IF(AC116&lt;AL114,BT114,IF(AC116&lt;AL115,BT115,BT116)))))))</f>
        <v>0</v>
      </c>
      <c r="AD118" s="2">
        <f>IF(AD116&lt;AL109,BU109,IF(AD116&lt;AL110,BU110,IF(AD116&lt;AL111,BU111,IF(AD116&lt;AL112,BU112,IF(AD116&lt;AL113,BU113,IF(AD116&lt;AL114,BU114,IF(AD116&lt;AL115,BU115,BU116)))))))</f>
        <v>37160</v>
      </c>
      <c r="AE118" s="2">
        <f>IF(AE116&lt;AL109,BV109,IF(AE116&lt;AL110,BV110,IF(AE116&lt;AL111,BV111,IF(AE116&lt;AL112,BV112,IF(AE116&lt;AL113,BV113,IF(AE116&lt;AL114,BV114,IF(AE116&lt;AL115,BV115,BV116)))))))</f>
        <v>0</v>
      </c>
      <c r="AF118" s="2" t="e">
        <f>IF(AF116&lt;AL109,BW109,IF(AF116&lt;AL110,BW110,IF(AF116&lt;AL111,BW111,IF(AF116&lt;AL112,BW112,IF(AF116&lt;AL113,BW113,IF(AF116&lt;AL114,BW114,IF(AF116&lt;AL115,BW115,BW116)))))))</f>
        <v>#VALUE!</v>
      </c>
      <c r="AG118" s="2">
        <f>IF(AG116&lt;AL109,BX109,IF(AG116&lt;AL110,BX110,IF(AG116&lt;AL111,BX111,IF(AG116&lt;AL112,BX112,IF(AG116&lt;AL113,BX113,IF(AG116&lt;AL114,BX114,IF(AG116&lt;AL115,BX115,BX116)))))))</f>
        <v>151153.60000000001</v>
      </c>
      <c r="AH118" s="2" t="e">
        <f>IF(AH116&lt;AL109,BY109,IF(AH116&lt;AL110,BY110,IF(AH116&lt;AL111,BY111,IF(AH116&lt;AL112,BY112,IF(AH116&lt;AL113,BY113,IF(AH116&lt;AL114,BY114,IF(AH116&lt;AL115,BY115,BY116)))))))</f>
        <v>#REF!</v>
      </c>
      <c r="AI118" s="2" t="e">
        <f>IF(AI116&lt;AL109,BZ109,IF(AI116&lt;AL110,BZ110,IF(AI116&lt;AL111,BZ111,IF(AI116&lt;AL112,BZ112,IF(AI116&lt;AL113,BZ113,IF(AI116&lt;AL114,BZ114,IF(AI116&lt;AL115,BZ115,BZ116)))))))</f>
        <v>#REF!</v>
      </c>
      <c r="AK118" s="67"/>
      <c r="AL118" s="119">
        <v>205843</v>
      </c>
      <c r="AM118" s="120">
        <v>0.53310000000000002</v>
      </c>
      <c r="AN118" s="122">
        <v>0.39829999999999999</v>
      </c>
      <c r="AO118" s="122">
        <v>0.43940000000000001</v>
      </c>
      <c r="AP118" s="13"/>
      <c r="AQ118" s="13"/>
      <c r="AR118" s="97"/>
      <c r="AS118" s="114"/>
      <c r="AT118" s="114"/>
      <c r="AU118" s="115">
        <f>AR117+AM118*(U115-AK118)</f>
        <v>24035.218656000001</v>
      </c>
      <c r="AV118" s="115">
        <f>AR117+AM118*(V115-AK118)</f>
        <v>123803.007144</v>
      </c>
      <c r="AW118" s="115">
        <f>AR117+AM118*(W115-AK118)</f>
        <v>27328.838400000001</v>
      </c>
      <c r="AX118" s="43">
        <f>AR117+AM118*(X115-AK118)</f>
        <v>120509.38740000001</v>
      </c>
      <c r="AY118" s="115">
        <f>AR117+AM118*(Y115-AK118)</f>
        <v>121609.70580000001</v>
      </c>
      <c r="AZ118" s="115">
        <f>AR117+AM118*(Z115-AK118)</f>
        <v>0</v>
      </c>
      <c r="BA118" s="115">
        <f>AR117+AM118*(AA115-AK118)</f>
        <v>21458.504601614284</v>
      </c>
      <c r="BB118" s="43">
        <f>AR117+AM118*(AB115-AK118)</f>
        <v>0</v>
      </c>
      <c r="BC118" s="43">
        <f>AR117+AM118*(AC115-AK118)</f>
        <v>21324</v>
      </c>
      <c r="BD118" s="43">
        <f>AR117+AM118*(AD115-AK118)</f>
        <v>763.68367551484653</v>
      </c>
      <c r="BE118" s="43">
        <f>AR117+AM118*(AE115-AK118)</f>
        <v>21324</v>
      </c>
      <c r="BF118" s="43" t="e">
        <f>AR117+AM118*(AF115-AK118)</f>
        <v>#VALUE!</v>
      </c>
      <c r="BG118" s="43">
        <f>AR117+AM118*(AG115-AK118)</f>
        <v>119409.069</v>
      </c>
      <c r="BH118" s="43">
        <f>AR117+AM118*(AH115-AK118)</f>
        <v>0</v>
      </c>
      <c r="BI118" s="43">
        <f>AR117+AM118*(AI115-AK118)</f>
        <v>21324</v>
      </c>
      <c r="BJ118" s="115">
        <f>S109*AO118</f>
        <v>0</v>
      </c>
      <c r="BK118" s="115">
        <f>T109*AO118</f>
        <v>0</v>
      </c>
      <c r="BL118" s="115">
        <f>U109*AO118</f>
        <v>0</v>
      </c>
      <c r="BM118" s="115">
        <f>V109*AO118</f>
        <v>0</v>
      </c>
      <c r="BN118" s="115">
        <f>W109*AO118</f>
        <v>0</v>
      </c>
      <c r="BO118" s="115">
        <f>X109*AO118</f>
        <v>0</v>
      </c>
      <c r="BP118" s="43">
        <f>Y109*AO118</f>
        <v>0</v>
      </c>
      <c r="BQ118" s="43">
        <f>Z109*AO118</f>
        <v>43940</v>
      </c>
      <c r="BR118" s="43">
        <f>AA109*AO118</f>
        <v>0</v>
      </c>
      <c r="BS118" s="43">
        <f>AB109*AO118</f>
        <v>43940</v>
      </c>
      <c r="BT118" s="43">
        <f>AC109*AO118</f>
        <v>0</v>
      </c>
      <c r="BU118" s="43">
        <f>AD109*AO118</f>
        <v>43940</v>
      </c>
      <c r="BV118" s="43">
        <f>AE109*AO118</f>
        <v>0</v>
      </c>
      <c r="BW118" s="43">
        <f>AF109*AO118</f>
        <v>0</v>
      </c>
      <c r="BX118" s="43">
        <f>AG109*AO118</f>
        <v>151153.60000000001</v>
      </c>
      <c r="BY118" s="43" t="e">
        <f>AH109*AO118</f>
        <v>#REF!</v>
      </c>
      <c r="BZ118" s="43" t="e">
        <f>AI109*AO118</f>
        <v>#REF!</v>
      </c>
      <c r="CA118" s="44">
        <f>AN118*S111</f>
        <v>0</v>
      </c>
      <c r="CB118" s="44">
        <f>AN118*T111</f>
        <v>0</v>
      </c>
      <c r="CC118" s="44">
        <f>AN118*U111</f>
        <v>2754.0055199999997</v>
      </c>
      <c r="CD118" s="44">
        <f>AN118*V111</f>
        <v>0</v>
      </c>
      <c r="CE118" s="44">
        <f>AN118*W111</f>
        <v>1377.0027599999999</v>
      </c>
      <c r="CF118" s="44">
        <f>AN118*X111</f>
        <v>1377.0027599999999</v>
      </c>
      <c r="CG118" s="44">
        <f>AN118*Y111</f>
        <v>2754.0055199999997</v>
      </c>
      <c r="CH118" s="44">
        <f>AN118*Z111</f>
        <v>0</v>
      </c>
      <c r="CI118" s="44">
        <f>AN118*AA111</f>
        <v>3974.0996176067683</v>
      </c>
      <c r="CJ118" s="44">
        <f>AN118*AB111</f>
        <v>0</v>
      </c>
      <c r="CK118" s="44">
        <f>AN118*AC111</f>
        <v>0</v>
      </c>
      <c r="CL118" s="44">
        <f>AN118*AD111</f>
        <v>1152.6251931099923</v>
      </c>
      <c r="CM118" s="44">
        <f>AN118*AE111</f>
        <v>0</v>
      </c>
      <c r="CN118" s="44">
        <f>AN118*AF111</f>
        <v>0</v>
      </c>
      <c r="CO118" s="44">
        <f>AN118*AG111</f>
        <v>0</v>
      </c>
      <c r="CP118" s="44">
        <f>AN118*AH111</f>
        <v>0</v>
      </c>
      <c r="CQ118" s="44">
        <f>AN118*AI111</f>
        <v>1.7151704010852774E-2</v>
      </c>
    </row>
    <row r="119" spans="4:116" ht="15.75" hidden="1" x14ac:dyDescent="0.25">
      <c r="F119" s="300" t="s">
        <v>211</v>
      </c>
      <c r="G119" t="s">
        <v>199</v>
      </c>
      <c r="H119" t="s">
        <v>200</v>
      </c>
      <c r="I119" t="s">
        <v>201</v>
      </c>
      <c r="J119" t="s">
        <v>40</v>
      </c>
      <c r="K119" t="s">
        <v>202</v>
      </c>
      <c r="L119" t="s">
        <v>206</v>
      </c>
      <c r="M119" t="s">
        <v>205</v>
      </c>
      <c r="N119" t="s">
        <v>203</v>
      </c>
      <c r="O119" t="s">
        <v>204</v>
      </c>
      <c r="P119" t="s">
        <v>287</v>
      </c>
      <c r="Q119" s="2" t="s">
        <v>207</v>
      </c>
      <c r="R119" s="3" t="s">
        <v>49</v>
      </c>
      <c r="S119" s="66">
        <f t="shared" ref="S119:AI119" si="184">CA120</f>
        <v>0</v>
      </c>
      <c r="T119" s="66">
        <f t="shared" si="184"/>
        <v>0</v>
      </c>
      <c r="U119" s="66">
        <f t="shared" si="184"/>
        <v>1209.3285599999999</v>
      </c>
      <c r="V119" s="66">
        <f t="shared" si="184"/>
        <v>0</v>
      </c>
      <c r="W119" s="66">
        <f t="shared" si="184"/>
        <v>604.66427999999996</v>
      </c>
      <c r="X119" s="66">
        <f t="shared" si="184"/>
        <v>1377.0027599999999</v>
      </c>
      <c r="Y119" s="66">
        <f t="shared" si="184"/>
        <v>2754.0055199999997</v>
      </c>
      <c r="Z119" s="130">
        <f t="shared" si="184"/>
        <v>0</v>
      </c>
      <c r="AA119" s="130">
        <f t="shared" si="184"/>
        <v>1745.0916975129896</v>
      </c>
      <c r="AB119" s="130">
        <f t="shared" si="184"/>
        <v>0</v>
      </c>
      <c r="AC119" s="130">
        <f t="shared" si="184"/>
        <v>0</v>
      </c>
      <c r="AD119" s="130">
        <f t="shared" si="184"/>
        <v>919.37992430591157</v>
      </c>
      <c r="AE119" s="130">
        <f t="shared" si="184"/>
        <v>0</v>
      </c>
      <c r="AF119" s="130" t="e">
        <f t="shared" si="184"/>
        <v>#VALUE!</v>
      </c>
      <c r="AG119" s="130">
        <f t="shared" si="184"/>
        <v>0</v>
      </c>
      <c r="AH119" s="130" t="e">
        <f t="shared" si="184"/>
        <v>#REF!</v>
      </c>
      <c r="AI119" s="130" t="e">
        <f t="shared" si="184"/>
        <v>#REF!</v>
      </c>
      <c r="AJ119" t="e">
        <f>IF(#REF!&lt;AL109,AM109,IF(#REF!&lt;AL110,AM110,IF(#REF!&lt;AL111,AM111,IF(#REF!&lt;AL112,AM112,IF(#REF!&lt;AL113,AM113,IF(#REF!&lt;AL114,AM114,IF(#REF!&lt;AL115,AM115,AM116)))))))</f>
        <v>#REF!</v>
      </c>
      <c r="AL119" s="119">
        <v>205843</v>
      </c>
      <c r="AM119" s="120">
        <v>0.53310000000000002</v>
      </c>
      <c r="AN119" s="122">
        <v>0.39829999999999999</v>
      </c>
      <c r="AO119" s="122">
        <v>0.43940000000000001</v>
      </c>
      <c r="AU119" s="115">
        <f>AR118+AM119*(U115-AK119)</f>
        <v>24035.218656000001</v>
      </c>
      <c r="AV119" s="115">
        <f>AR118+AM119*(V115-AK119)</f>
        <v>123803.007144</v>
      </c>
      <c r="AW119" s="115">
        <f>AR118+AM119*(W115-AK119)</f>
        <v>27328.838400000001</v>
      </c>
      <c r="AX119" s="43">
        <f>AR118+AM119*(X115-AK119)</f>
        <v>120509.38740000001</v>
      </c>
      <c r="AY119" s="115">
        <f>AR118+AM119*(Y115-AK119)</f>
        <v>121609.70580000001</v>
      </c>
      <c r="AZ119" s="115">
        <f>AR118+AM119*(Z115-AK119)</f>
        <v>0</v>
      </c>
      <c r="BA119" s="115">
        <f>AR118+AM119*(AA115-AK119)</f>
        <v>21458.504601614284</v>
      </c>
      <c r="BB119" s="43">
        <f>AR118+AM119*(AB115-AK119)</f>
        <v>0</v>
      </c>
      <c r="BC119" s="43">
        <f>AR118+AM119*(AC115-AK119)</f>
        <v>21324</v>
      </c>
      <c r="BD119" s="43">
        <f>AR118+AM119*(AD115-AK119)</f>
        <v>763.68367551484653</v>
      </c>
      <c r="BE119" s="43">
        <f>AR118+AM119*(AE115-AK119)</f>
        <v>21324</v>
      </c>
      <c r="BF119" s="43" t="e">
        <f>AR118+AM119*(AF115-AK119)</f>
        <v>#VALUE!</v>
      </c>
      <c r="BG119" s="43">
        <f>AR118+AM119*(AG115-AK119)</f>
        <v>119409.069</v>
      </c>
      <c r="BH119" s="43">
        <f>AR118+AM119*(AH115-AK119)</f>
        <v>0</v>
      </c>
      <c r="BI119" s="43">
        <f>AR118+AM119*(AI115-AK119)</f>
        <v>21324</v>
      </c>
      <c r="BJ119" s="115">
        <f>S109*AO119</f>
        <v>0</v>
      </c>
      <c r="BK119" s="115">
        <f>T109*AO119</f>
        <v>0</v>
      </c>
      <c r="BL119" s="115">
        <f>U109*AO119</f>
        <v>0</v>
      </c>
      <c r="BM119" s="115">
        <f>V109*AO119</f>
        <v>0</v>
      </c>
      <c r="BN119" s="115">
        <f>W109*AO119</f>
        <v>0</v>
      </c>
      <c r="BO119" s="115">
        <f>X109*AO119</f>
        <v>0</v>
      </c>
      <c r="BP119" s="43">
        <f>Y109*AO119</f>
        <v>0</v>
      </c>
      <c r="BQ119" s="43">
        <f>Z109*AO119</f>
        <v>43940</v>
      </c>
      <c r="BR119" s="43">
        <f>AA109*AO119</f>
        <v>0</v>
      </c>
      <c r="BS119" s="43">
        <f>AB109*AO119</f>
        <v>43940</v>
      </c>
      <c r="BT119" s="43">
        <f>AC109*AO119</f>
        <v>0</v>
      </c>
      <c r="BU119" s="43">
        <f>AD109*AO119</f>
        <v>43940</v>
      </c>
      <c r="BV119" s="43">
        <f>AE109*AO119</f>
        <v>0</v>
      </c>
      <c r="BW119" s="43">
        <f>AF109*AO119</f>
        <v>0</v>
      </c>
      <c r="BX119" s="43">
        <f>AG109*AO119</f>
        <v>151153.60000000001</v>
      </c>
      <c r="BY119" s="43" t="e">
        <f>AH109*AO119</f>
        <v>#REF!</v>
      </c>
      <c r="BZ119" s="43" t="e">
        <f>AI109*AO119</f>
        <v>#REF!</v>
      </c>
      <c r="CA119" s="44">
        <f>AN119*S111</f>
        <v>0</v>
      </c>
      <c r="CB119" s="44">
        <f>AN119*T111</f>
        <v>0</v>
      </c>
      <c r="CC119" s="44">
        <f>AN119*U111</f>
        <v>2754.0055199999997</v>
      </c>
      <c r="CD119" s="44">
        <f>AN119*V111</f>
        <v>0</v>
      </c>
      <c r="CE119" s="44">
        <f>AN119*W111</f>
        <v>1377.0027599999999</v>
      </c>
      <c r="CF119" s="44">
        <f>AN119*X111</f>
        <v>1377.0027599999999</v>
      </c>
      <c r="CG119" s="44">
        <f>AN119*Y111</f>
        <v>2754.0055199999997</v>
      </c>
      <c r="CH119" s="44">
        <f>AN119*Z111</f>
        <v>0</v>
      </c>
      <c r="CI119" s="44">
        <f>AN119*AA111</f>
        <v>3974.0996176067683</v>
      </c>
      <c r="CJ119" s="44">
        <f>AN119*AB111</f>
        <v>0</v>
      </c>
      <c r="CK119" s="44">
        <f>AN119*AC111</f>
        <v>0</v>
      </c>
      <c r="CL119" s="44">
        <f>AN119*AD111</f>
        <v>1152.6251931099923</v>
      </c>
      <c r="CM119" s="44">
        <f>AN119*AE111</f>
        <v>0</v>
      </c>
      <c r="CN119" s="44">
        <f>AN119*AF111</f>
        <v>0</v>
      </c>
      <c r="CO119" s="44">
        <f>AN119*AG111</f>
        <v>0</v>
      </c>
      <c r="CP119" s="44">
        <f>AN119*AH111</f>
        <v>0</v>
      </c>
      <c r="CQ119" s="44">
        <f>AN119*AI111</f>
        <v>1.7151704010852774E-2</v>
      </c>
    </row>
    <row r="120" spans="4:116" ht="15.75" hidden="1" x14ac:dyDescent="0.25">
      <c r="F120" t="s">
        <v>233</v>
      </c>
      <c r="G120" s="130">
        <f>G6</f>
        <v>344000</v>
      </c>
      <c r="H120" s="130">
        <f>G120*G16</f>
        <v>6914.4</v>
      </c>
      <c r="I120" s="140">
        <f>G120*G17</f>
        <v>4128</v>
      </c>
      <c r="J120" s="140">
        <f>G120*G15</f>
        <v>17200</v>
      </c>
      <c r="K120" s="117">
        <f>(G7*G6)/G120</f>
        <v>2.3959999999999999E-2</v>
      </c>
      <c r="L120" s="130">
        <f>(H120+I120-C17+C16)</f>
        <v>235032.4</v>
      </c>
      <c r="M120" s="117">
        <f>IF(M87&lt;100,0,IF(L120&gt;M25,O26,IF(L120&gt;M24,O25,IF(L120&gt;M23,O24,IF(L120&gt;M22,O23,IF(L120&gt;M21,O22,IF(L120&gt;M20,O21,IF(L120&gt;M19,O20,IF(L120&gt;M18,O19,IF(L120&gt;M17,O18,IF(L120&gt;M16,O17,O16)))))))))))</f>
        <v>0.39340000000000003</v>
      </c>
      <c r="N120" s="117">
        <f t="shared" ref="N120:N145" si="185">(M120*H120)/G120</f>
        <v>7.9073400000000005E-3</v>
      </c>
      <c r="O120" s="117">
        <f>(IF(L120&gt;M25,N26,IF(L120&gt;M24,N25,IF(L120&gt;M23,N24,IF(L120&gt;M22,N23,IF(L120&gt;M21,N22,IF(L120&gt;M20,N21,IF(L120&gt;M19,N20,IF(L120&gt;M18,N19,IF(L120&gt;M17,N18,IF(L120&gt;M16,N17,N16))))))))))*I120)/G120</f>
        <v>6.4236000000000007E-3</v>
      </c>
      <c r="P120" s="117">
        <f>N120+O120</f>
        <v>1.433094E-2</v>
      </c>
      <c r="Q120" s="261">
        <f>K120+N120+O120</f>
        <v>3.8290940000000002E-2</v>
      </c>
      <c r="R120" s="3" t="s">
        <v>73</v>
      </c>
      <c r="S120" s="135"/>
      <c r="T120" s="97">
        <f>S121-T121</f>
        <v>-81086.021900000007</v>
      </c>
      <c r="U120" s="85">
        <f>U121-S121</f>
        <v>-317.87732799999867</v>
      </c>
      <c r="V120" s="85">
        <f>V121-T121</f>
        <v>4393.9381439999997</v>
      </c>
      <c r="W120" s="85">
        <f>W121-S121</f>
        <v>1370.8210800000015</v>
      </c>
      <c r="X120" s="85">
        <f>X121-T121</f>
        <v>2477.3211600000068</v>
      </c>
      <c r="Y120" s="85">
        <f>Y121-T121</f>
        <v>4954.6423200000136</v>
      </c>
      <c r="Z120" s="142">
        <f t="shared" ref="Z120:AE120" si="186">Z121-W121</f>
        <v>7968.9613200000003</v>
      </c>
      <c r="AA120" s="142">
        <f t="shared" si="186"/>
        <v>-85139.635185185922</v>
      </c>
      <c r="AB120" s="142">
        <f t="shared" si="186"/>
        <v>-76700.881820000024</v>
      </c>
      <c r="AC120" s="142">
        <f t="shared" si="186"/>
        <v>-12298.206400000001</v>
      </c>
      <c r="AD120" s="142">
        <f t="shared" si="186"/>
        <v>12515.334907941155</v>
      </c>
      <c r="AE120" s="142">
        <f t="shared" si="186"/>
        <v>-12298.206400000001</v>
      </c>
      <c r="AF120" s="85" t="e">
        <f>AF121-S121</f>
        <v>#VALUE!</v>
      </c>
      <c r="AG120" s="85">
        <f>AG121-T121</f>
        <v>151153.60000000003</v>
      </c>
      <c r="AH120" s="85" t="e">
        <f>AH121-U121</f>
        <v>#REF!</v>
      </c>
      <c r="AI120" s="85" t="e">
        <f>AI121-V121</f>
        <v>#REF!</v>
      </c>
      <c r="AJ120" t="s">
        <v>51</v>
      </c>
      <c r="AL120" s="119">
        <v>205843</v>
      </c>
      <c r="AM120" s="120">
        <v>0.53310000000000002</v>
      </c>
      <c r="AN120" s="122">
        <v>0.39829999999999999</v>
      </c>
      <c r="AO120" s="122">
        <v>0.43940000000000001</v>
      </c>
      <c r="CA120" s="44">
        <f>IF(S116&lt;AL109,CA109,IF(S116&lt;AL110,CA110,IF(S116&lt;AL111,CA111,IF(S116&lt;AL112,CA112,IF(S116&lt;AL113,CA113,IF(S116&lt;AL114,CA114,IF(S116&lt;AL115,CA115,CA116)))))))</f>
        <v>0</v>
      </c>
      <c r="CB120" s="44">
        <f>IF(T116&lt;AL109,CB109,IF(T116&lt;AL110,CB110,IF(T116&lt;AL111,CB111,IF(T116&lt;AL112,CB112,IF(T116&lt;AL113,CB113,IF(T116&lt;AL114,CB114,IF(T116&lt;AL115,CB115,CB116)))))))</f>
        <v>0</v>
      </c>
      <c r="CC120" s="44">
        <f>IF(U116&lt;AL109,CC109,IF(U116&lt;AL110,CC110,IF(U116&lt;AL111,CC111,IF(U116&lt;AL112,CC112,IF(U116&lt;AL113,CC113,IF(U116&lt;AL114,CC114,IF(U116&lt;AL115,CC115,CC116)))))))</f>
        <v>1209.3285599999999</v>
      </c>
      <c r="CD120" s="44">
        <f>IF(V116&lt;AL109,CD109,IF(V116&lt;AL110,CD110,IF(V116&lt;AL111,CD111,IF(V116&lt;AL112,CD112,IF(V116&lt;AL113,CD113,IF(V116&lt;AL114,CD114,IF(V116&lt;AL115,CD115,CD116)))))))</f>
        <v>0</v>
      </c>
      <c r="CE120" s="44">
        <f>IF(W116&lt;AL109,CE109,IF(W116&lt;AL110,CE110,IF(W116&lt;AL111,CE111,IF(W116&lt;AL112,CE112,IF(W116&lt;AL113,CE113,IF(W116&lt;AL114,CE114,IF(W116&lt;AL115,CE115,CE116)))))))</f>
        <v>604.66427999999996</v>
      </c>
      <c r="CF120" s="44">
        <f>IF(X116&lt;AL109,CF109,IF(X116&lt;AL110,CF110,IF(X116&lt;AL111,CF111,IF(X116&lt;AL112,CF112,IF(X116&lt;AL113,CF113,IF(X116&lt;AL114,CF114,IF(X116&lt;AL115,CF115,CF116)))))))</f>
        <v>1377.0027599999999</v>
      </c>
      <c r="CG120" s="44">
        <f>IF(Y116&lt;AL109,CG109,IF(Y116&lt;AL110,CG110,IF(Y116&lt;AL111,CG111,IF(Y116&lt;AL112,CG112,IF(Y116&lt;AL113,CG113,IF(Y116&lt;AL114,CG114,IF(Y116&lt;AL115,CG115,CG116)))))))</f>
        <v>2754.0055199999997</v>
      </c>
      <c r="CH120" s="44">
        <f>IF(Z116&lt;AL109,CH109,IF(Z116&lt;AL110,CH110,IF(Z116&lt;AL111,CH111,IF(Z116&lt;AL112,CH112,IF(Z116&lt;AL113,CH113,IF(Z116&lt;AL114,CH114,IF(Z116&lt;AL115,CH115,CH116)))))))</f>
        <v>0</v>
      </c>
      <c r="CI120" s="44">
        <f>IF(AA116&lt;AL109,CI109,IF(AA116&lt;AL110,CI110,IF(AA116&lt;AL111,CI111,IF(AA116&lt;AL112,CI112,IF(AA116&lt;AL113,CI113,IF(AA116&lt;AL114,CI114,IF(AA116&lt;AL115,CI115,CI116)))))))</f>
        <v>1745.0916975129896</v>
      </c>
      <c r="CJ120" s="44">
        <f>IF(AB116&lt;AL109,CJ109,IF(AB116&lt;AL110,CJ110,IF(AB116&lt;AL111,CJ111,IF(AB116&lt;AL112,CJ112,IF(AB116&lt;AL113,CJ113,IF(AB116&lt;AL114,CJ114,IF(AB116&lt;AL115,CJ115,CJ116)))))))</f>
        <v>0</v>
      </c>
      <c r="CK120" s="44">
        <f>IF(AC116&lt;AL109,CK109,IF(AC116&lt;AL110,CK110,IF(AC116&lt;AL111,CK111,IF(AC116&lt;AL112,CK112,IF(AC116&lt;AL113,CK113,IF(AC116&lt;AL114,CK114,IF(AC116&lt;AL115,CK115,CK116)))))))</f>
        <v>0</v>
      </c>
      <c r="CL120" s="44">
        <f>IF(AD116&lt;AL109,CL109,IF(AD116&lt;AL110,CL110,IF(AD116&lt;AL111,CL111,IF(AD116&lt;AL112,CL112,IF(AD116&lt;AL113,CL113,IF(AD116&lt;AL114,CL114,IF(AD116&lt;AL115,CL115,CL116)))))))</f>
        <v>919.37992430591157</v>
      </c>
      <c r="CM120" s="44">
        <f>IF(AE116&lt;AL109,CM109,IF(AE116&lt;AL110,CM110,IF(AE116&lt;AL111,CM111,IF(AE116&lt;AL112,CM112,IF(AE116&lt;AL113,CM113,IF(AE116&lt;AL114,CM114,IF(AE116&lt;AL115,CM115,CM116)))))))</f>
        <v>0</v>
      </c>
      <c r="CN120" s="44" t="e">
        <f>IF(AF116&lt;AL109,CN109,IF(AF116&lt;AL110,CN110,IF(AF116&lt;AL111,CN111,IF(AF116&lt;AL112,CN112,IF(AF116&lt;AL113,CN113,IF(AF116&lt;AL114,CN114,IF(AF116&lt;AL115,CN115,CN116)))))))</f>
        <v>#VALUE!</v>
      </c>
      <c r="CO120" s="44">
        <f>IF(AG116&lt;AL109,CO109,IF(AG116&lt;AL110,CO110,IF(AG116&lt;AL111,CO111,IF(AG116&lt;AL112,CO112,IF(AG116&lt;AL113,CO113,IF(AG116&lt;AL114,CO114,IF(AG116&lt;AL115,CO115,CO116)))))))</f>
        <v>0</v>
      </c>
      <c r="CP120" s="44" t="e">
        <f>IF(AH116&lt;AL109,CP109,IF(AH116&lt;AL110,CP110,IF(AH116&lt;AL111,CP111,IF(AH116&lt;AL112,CP112,IF(AH116&lt;AL113,CP113,IF(AH116&lt;AL114,CP114,IF(AH116&lt;AL115,CP115,CP116)))))))</f>
        <v>#REF!</v>
      </c>
      <c r="CQ120" s="44" t="e">
        <f>IF(AI116&lt;AL109,CQ109,IF(AI116&lt;AL110,CQ110,IF(AI116&lt;AL111,CQ111,IF(AI116&lt;AL112,CQ112,IF(AI116&lt;AL113,CQ113,IF(AI116&lt;AL114,CQ114,IF(AI116&lt;AL115,CQ115,CQ116)))))))</f>
        <v>#REF!</v>
      </c>
    </row>
    <row r="121" spans="4:116" hidden="1" x14ac:dyDescent="0.25">
      <c r="F121">
        <v>2</v>
      </c>
      <c r="G121" s="140">
        <f>G120+G120*(G15+G16+G17-Q120-H20)</f>
        <v>352190.31663999998</v>
      </c>
      <c r="H121" s="140">
        <f>G121*G16</f>
        <v>7079.0253644639997</v>
      </c>
      <c r="I121" s="140">
        <f>G121*G17</f>
        <v>4226.2837996799999</v>
      </c>
      <c r="J121" s="140">
        <f>G121*G15</f>
        <v>17609.515832000001</v>
      </c>
      <c r="K121" s="117">
        <f>(G7*G6)/G121</f>
        <v>2.3402801299687661E-2</v>
      </c>
      <c r="L121" s="130">
        <f>(H121+I121-C17+C16)</f>
        <v>235295.30916414401</v>
      </c>
      <c r="M121" s="117">
        <f>IF(M87&lt;100,0,IF(L121&gt;M25,O26,IF(L121&gt;M24,O25,IF(L121&gt;M23,O24,IF(L121&gt;M22,O23,IF(L121&gt;M21,O22,IF(L121&gt;M20,O21,IF(L121&gt;M19,O20,IF(L121&gt;M18,O19,IF(L121&gt;M17,O18,IF(L121&gt;M16,O17,O16)))))))))))</f>
        <v>0.39340000000000003</v>
      </c>
      <c r="N121" s="117">
        <f t="shared" si="185"/>
        <v>7.9073400000000005E-3</v>
      </c>
      <c r="O121" s="117">
        <f>(IF(L121&gt;M25,N26,IF(L121&gt;M24,N25,IF(L121&gt;M23,N24,IF(L121&gt;M22,N23,IF(L121&gt;M21,N22,IF(L121&gt;M20,N21,IF(L121&gt;M19,N20,IF(L121&gt;M18,N19,IF(L121&gt;M17,N18,IF(L121&gt;M16,N17,N16))))))))))*I121)/G121</f>
        <v>6.4235999999999998E-3</v>
      </c>
      <c r="P121" s="117">
        <f t="shared" ref="P121:P146" si="187">N121+O121</f>
        <v>1.433094E-2</v>
      </c>
      <c r="Q121" s="261">
        <f t="shared" ref="Q120:Q145" si="188">K121+N121+O121</f>
        <v>3.7733741299687665E-2</v>
      </c>
      <c r="R121" s="3" t="s">
        <v>53</v>
      </c>
      <c r="S121" s="72">
        <f t="shared" ref="S121:AI121" si="189">IF(S117+S118+S119-CV109-CV110&lt;0,0,S117+S118+S119-CV109-CV110)</f>
        <v>9842.7739999999994</v>
      </c>
      <c r="T121" s="72">
        <f t="shared" si="189"/>
        <v>90928.795900000012</v>
      </c>
      <c r="U121" s="72">
        <f t="shared" si="189"/>
        <v>9524.8966720000008</v>
      </c>
      <c r="V121" s="72">
        <f t="shared" si="189"/>
        <v>95322.734044000012</v>
      </c>
      <c r="W121" s="72">
        <f t="shared" si="189"/>
        <v>11213.595080000001</v>
      </c>
      <c r="X121" s="72">
        <f t="shared" si="189"/>
        <v>93406.117060000019</v>
      </c>
      <c r="Y121" s="72">
        <f t="shared" si="189"/>
        <v>95883.438220000025</v>
      </c>
      <c r="Z121" s="72">
        <f t="shared" si="189"/>
        <v>19182.556400000001</v>
      </c>
      <c r="AA121" s="72">
        <f t="shared" si="189"/>
        <v>8266.4818748140988</v>
      </c>
      <c r="AB121" s="72">
        <f t="shared" si="189"/>
        <v>19182.556400000001</v>
      </c>
      <c r="AC121" s="72">
        <f t="shared" si="189"/>
        <v>6884.35</v>
      </c>
      <c r="AD121" s="72">
        <f t="shared" si="189"/>
        <v>20781.816782755253</v>
      </c>
      <c r="AE121" s="72">
        <f t="shared" si="189"/>
        <v>6884.35</v>
      </c>
      <c r="AF121" s="72" t="e">
        <f t="shared" si="189"/>
        <v>#VALUE!</v>
      </c>
      <c r="AG121" s="72">
        <f t="shared" si="189"/>
        <v>242082.39590000003</v>
      </c>
      <c r="AH121" s="72" t="e">
        <f t="shared" si="189"/>
        <v>#REF!</v>
      </c>
      <c r="AI121" s="72" t="e">
        <f t="shared" si="189"/>
        <v>#REF!</v>
      </c>
      <c r="AJ121" s="130">
        <f>IF((T121-S121-2250)&lt;26010,(T121-S121-2250),26010)</f>
        <v>26010</v>
      </c>
    </row>
    <row r="122" spans="4:116" ht="51" hidden="1" x14ac:dyDescent="0.25">
      <c r="F122">
        <v>3</v>
      </c>
      <c r="G122" s="140">
        <f>G121+G121*(G15+G16+G17-Q121-H20)</f>
        <v>360771.87700699514</v>
      </c>
      <c r="H122" s="140">
        <f>G122*G16</f>
        <v>7251.5147278406021</v>
      </c>
      <c r="I122" s="140">
        <f>G122*G17</f>
        <v>4329.2625240839416</v>
      </c>
      <c r="J122" s="140">
        <f>G122*G15</f>
        <v>18038.593850349756</v>
      </c>
      <c r="K122" s="117">
        <f>(G6*G7)/G122</f>
        <v>2.2846126667018969E-2</v>
      </c>
      <c r="L122" s="130">
        <f>(H122+I122-C17+C16)</f>
        <v>235570.77725192453</v>
      </c>
      <c r="M122" s="117">
        <f>IF(M87&lt;100,0,IF(L122&gt;M25,O26,IF(L122&gt;M24,O25,IF(L122&gt;M23,O24,IF(L122&gt;M22,O23,IF(L122&gt;M21,O22,IF(L122&gt;M20,O21,IF(L122&gt;M19,O20,IF(L122&gt;M18,O19,IF(L122&gt;M17,O18,IF(L122&gt;M16,O17,O16)))))))))))</f>
        <v>0.39340000000000003</v>
      </c>
      <c r="N122" s="117">
        <f t="shared" si="185"/>
        <v>7.9073400000000005E-3</v>
      </c>
      <c r="O122" s="117">
        <f>(IF(L122&gt;M25,N26,IF(L122&gt;M24,N25,IF(L122&gt;M23,N24,IF(L122&gt;M22,N23,IF(L122&gt;M21,N22,IF(L122&gt;M20,N21,IF(L122&gt;M19,N20,IF(L122&gt;M18,N19,IF(L122&gt;M17,N18,IF(L122&gt;M16,N17,N16))))))))))*I122)/G122</f>
        <v>6.4235999999999998E-3</v>
      </c>
      <c r="P122" s="117">
        <f t="shared" si="187"/>
        <v>1.433094E-2</v>
      </c>
      <c r="Q122" s="261">
        <f t="shared" si="188"/>
        <v>3.717706666701897E-2</v>
      </c>
      <c r="R122" s="7" t="s">
        <v>87</v>
      </c>
      <c r="S122" t="s">
        <v>55</v>
      </c>
      <c r="T122" t="s">
        <v>56</v>
      </c>
      <c r="U122" t="s">
        <v>55</v>
      </c>
      <c r="V122" t="s">
        <v>56</v>
      </c>
      <c r="W122" t="s">
        <v>55</v>
      </c>
      <c r="X122" t="s">
        <v>56</v>
      </c>
      <c r="Y122" t="s">
        <v>56</v>
      </c>
      <c r="Z122" t="s">
        <v>56</v>
      </c>
      <c r="AA122" t="s">
        <v>56</v>
      </c>
      <c r="AB122" t="s">
        <v>56</v>
      </c>
      <c r="AC122" t="s">
        <v>56</v>
      </c>
      <c r="AD122" t="s">
        <v>56</v>
      </c>
      <c r="AE122" t="s">
        <v>56</v>
      </c>
      <c r="AF122" t="s">
        <v>56</v>
      </c>
      <c r="AG122" t="s">
        <v>56</v>
      </c>
      <c r="AH122" t="s">
        <v>56</v>
      </c>
      <c r="AI122" t="s">
        <v>56</v>
      </c>
      <c r="AK122" s="9" t="s">
        <v>88</v>
      </c>
      <c r="AL122" s="10"/>
      <c r="AM122" s="11" t="s">
        <v>6</v>
      </c>
      <c r="AN122" s="9"/>
      <c r="AO122" s="9"/>
      <c r="AQ122" s="12"/>
      <c r="AT122" s="12"/>
      <c r="AU122" s="12"/>
      <c r="AV122" s="12"/>
      <c r="AW122" s="12"/>
      <c r="AX122" s="12"/>
      <c r="AY122" s="12"/>
      <c r="AZ122" s="12"/>
      <c r="BA122" s="12"/>
      <c r="BB122" s="12"/>
      <c r="BC122" s="12"/>
      <c r="BD122" s="12"/>
      <c r="BE122" s="12"/>
      <c r="BF122" s="12"/>
      <c r="BG122" s="12"/>
      <c r="BH122" s="12"/>
      <c r="BI122" s="12"/>
      <c r="BJ122" s="12" t="s">
        <v>9</v>
      </c>
      <c r="BK122" s="12"/>
      <c r="BL122" s="12"/>
      <c r="BM122" s="12"/>
      <c r="BN122" s="12"/>
      <c r="BO122" s="12"/>
      <c r="BP122" s="12"/>
      <c r="BQ122" s="12"/>
      <c r="BR122" s="12"/>
      <c r="BS122" s="12"/>
      <c r="BT122" s="12"/>
      <c r="BU122" s="12"/>
      <c r="BV122" s="12"/>
      <c r="BW122" s="12"/>
      <c r="BX122" s="12"/>
      <c r="BY122" s="12"/>
      <c r="BZ122" s="12"/>
      <c r="CA122" s="12" t="s">
        <v>58</v>
      </c>
      <c r="CB122" s="12"/>
      <c r="CC122" s="12"/>
      <c r="CD122" s="12"/>
      <c r="CE122" s="12"/>
      <c r="CF122" s="12"/>
      <c r="CG122" s="12"/>
      <c r="CH122" s="12"/>
      <c r="CI122" s="12"/>
      <c r="CJ122" s="12"/>
      <c r="CK122" s="12"/>
      <c r="CL122" s="12"/>
      <c r="CM122" s="12"/>
      <c r="CN122" s="12"/>
      <c r="CO122" s="12"/>
      <c r="CP122" s="12"/>
      <c r="CQ122" s="12"/>
      <c r="CR122" s="13"/>
      <c r="CS122" s="13"/>
    </row>
    <row r="123" spans="4:116" ht="15.75" hidden="1" x14ac:dyDescent="0.25">
      <c r="F123">
        <v>4</v>
      </c>
      <c r="G123" s="140">
        <f>G122+G122*(G15+G16+G17-Q122-H20)</f>
        <v>369763.37044605491</v>
      </c>
      <c r="H123" s="140">
        <f>G123*G16</f>
        <v>7432.243745965704</v>
      </c>
      <c r="I123" s="140">
        <f>G123*G17</f>
        <v>4437.1604453526588</v>
      </c>
      <c r="J123" s="140">
        <f>G123*G15</f>
        <v>18488.168522302745</v>
      </c>
      <c r="K123" s="117">
        <f>(G6*G7)/G123</f>
        <v>2.2290580027051293E-2</v>
      </c>
      <c r="L123" s="130">
        <f>(H123+I123-C17+C16)</f>
        <v>235859.40419131838</v>
      </c>
      <c r="M123" s="117">
        <f>IF(M87&lt;100,0,IF(L123&gt;M25,O26,IF(L123&gt;M24,O25,IF(L123&gt;M23,O24,IF(L123&gt;M22,O23,IF(L123&gt;M21,O22,IF(L123&gt;M20,O21,IF(L123&gt;M19,O20,IF(L123&gt;M18,O19,IF(L123&gt;M17,O18,IF(L123&gt;M16,O17,O16)))))))))))</f>
        <v>0.39340000000000003</v>
      </c>
      <c r="N123" s="117">
        <f t="shared" si="185"/>
        <v>7.9073400000000005E-3</v>
      </c>
      <c r="O123" s="117">
        <f>(IF(L123&gt;M25,N26,IF(L123&gt;M24,N25,IF(L123&gt;M23,N24,IF(L123&gt;M22,N23,IF(L123&gt;M21,N22,IF(L123&gt;M20,N21,IF(L123&gt;M19,N20,IF(L123&gt;M18,N19,IF(L123&gt;M17,N18,IF(L123&gt;M16,N17,N16))))))))))*I123)/G123</f>
        <v>6.4236000000000007E-3</v>
      </c>
      <c r="P123" s="117">
        <f t="shared" si="187"/>
        <v>1.433094E-2</v>
      </c>
      <c r="Q123" s="261">
        <f t="shared" si="188"/>
        <v>3.6621520027051296E-2</v>
      </c>
      <c r="R123" s="3" t="s">
        <v>11</v>
      </c>
      <c r="S123" s="97">
        <f t="shared" ref="S123:Z126" si="190">S106</f>
        <v>60000</v>
      </c>
      <c r="T123" s="97">
        <f t="shared" si="190"/>
        <v>250000</v>
      </c>
      <c r="U123" s="97">
        <f t="shared" si="190"/>
        <v>55885.760000000002</v>
      </c>
      <c r="V123" s="97">
        <f t="shared" si="190"/>
        <v>258242.24</v>
      </c>
      <c r="W123" s="97">
        <f t="shared" si="190"/>
        <v>62064</v>
      </c>
      <c r="X123" s="97">
        <f t="shared" si="190"/>
        <v>252064</v>
      </c>
      <c r="Y123" s="97">
        <f t="shared" si="190"/>
        <v>254128</v>
      </c>
      <c r="Z123" s="97">
        <f t="shared" si="190"/>
        <v>0</v>
      </c>
      <c r="AA123" s="97">
        <f t="shared" ref="AA123:AH126" si="191">AA106</f>
        <v>0</v>
      </c>
      <c r="AB123" s="97">
        <f t="shared" si="191"/>
        <v>0</v>
      </c>
      <c r="AC123" s="97">
        <f t="shared" si="191"/>
        <v>0</v>
      </c>
      <c r="AD123" s="97">
        <f t="shared" si="191"/>
        <v>0</v>
      </c>
      <c r="AE123" s="97">
        <f t="shared" si="191"/>
        <v>0</v>
      </c>
      <c r="AF123" s="97">
        <f t="shared" si="191"/>
        <v>0</v>
      </c>
      <c r="AG123" s="97">
        <f t="shared" si="191"/>
        <v>250000</v>
      </c>
      <c r="AH123" s="97">
        <f t="shared" si="191"/>
        <v>0</v>
      </c>
      <c r="AI123" s="97">
        <f t="shared" ref="AI123" si="192">AI106</f>
        <v>0</v>
      </c>
      <c r="AJ123" s="196">
        <f>W137+X137</f>
        <v>3288.0552000000007</v>
      </c>
      <c r="AK123" s="9"/>
      <c r="AL123" s="10"/>
      <c r="AM123" s="98"/>
      <c r="AN123" s="9" t="s">
        <v>89</v>
      </c>
      <c r="AO123" s="9" t="s">
        <v>83</v>
      </c>
      <c r="AP123" s="99"/>
      <c r="AQ123" s="100" t="s">
        <v>12</v>
      </c>
      <c r="AR123" s="100"/>
      <c r="AS123" s="101" t="s">
        <v>55</v>
      </c>
      <c r="AT123" t="s">
        <v>56</v>
      </c>
      <c r="BJ123" s="16" t="s">
        <v>16</v>
      </c>
      <c r="BK123" s="16"/>
      <c r="BL123" s="16"/>
      <c r="BM123" s="16"/>
      <c r="BN123" s="16"/>
      <c r="BO123" s="16"/>
      <c r="BP123" s="16"/>
      <c r="BQ123" s="16"/>
      <c r="BR123" s="16"/>
      <c r="BS123" s="16"/>
      <c r="BT123" s="16"/>
      <c r="BU123" s="16"/>
      <c r="BV123" s="16"/>
      <c r="BW123" s="16"/>
      <c r="BX123" s="16"/>
      <c r="BY123" s="16"/>
      <c r="BZ123" s="16"/>
      <c r="CA123" t="s">
        <v>16</v>
      </c>
      <c r="CR123" t="s">
        <v>17</v>
      </c>
      <c r="CT123" s="100"/>
      <c r="CU123" s="100"/>
      <c r="CV123" s="100"/>
      <c r="CW123" s="100"/>
    </row>
    <row r="124" spans="4:116" ht="15.75" hidden="1" x14ac:dyDescent="0.25">
      <c r="F124">
        <v>5</v>
      </c>
      <c r="G124" s="140">
        <f>G123+G123*(G15+G16+G17-Q123-H20)</f>
        <v>379184.37907469471</v>
      </c>
      <c r="H124" s="140">
        <f>G124*G16</f>
        <v>7621.6060194013635</v>
      </c>
      <c r="I124" s="140">
        <f>G124*G17</f>
        <v>4550.2125488963366</v>
      </c>
      <c r="J124" s="140">
        <f>G124*G15</f>
        <v>18959.218953734737</v>
      </c>
      <c r="K124" s="117">
        <f>(G6*G7)/G124</f>
        <v>2.1736760412211967E-2</v>
      </c>
      <c r="L124" s="130">
        <f>(H124+I124-C17+C16)</f>
        <v>236161.81856829769</v>
      </c>
      <c r="M124" s="117">
        <f>IF(M87&lt;100,0,IF(L124&gt;M25,O26,IF(L124&gt;M24,O25,IF(L124&gt;M23,O24,IF(L124&gt;M22,O23,IF(L124&gt;M21,O22,IF(L124&gt;M20,O21,IF(L124&gt;M19,O20,IF(L124&gt;M18,O19,IF(L124&gt;M17,O18,IF(L124&gt;M16,O17,O16)))))))))))</f>
        <v>0.39340000000000003</v>
      </c>
      <c r="N124" s="117">
        <f t="shared" si="185"/>
        <v>7.9073400000000005E-3</v>
      </c>
      <c r="O124" s="117">
        <f>(IF(L124&gt;M25,N26,IF(L124&gt;M24,N25,IF(L124&gt;M23,N24,IF(L124&gt;M22,N23,IF(L124&gt;M21,N22,IF(L124&gt;M20,N21,IF(L124&gt;M19,N20,IF(L124&gt;M18,N19,IF(L124&gt;M17,N18,IF(L124&gt;M16,N17,N16))))))))))*I124)/G124</f>
        <v>6.4236000000000007E-3</v>
      </c>
      <c r="P124" s="117">
        <f t="shared" si="187"/>
        <v>1.433094E-2</v>
      </c>
      <c r="Q124" s="261">
        <f t="shared" si="188"/>
        <v>3.6067700412211967E-2</v>
      </c>
      <c r="R124" s="3" t="s">
        <v>18</v>
      </c>
      <c r="S124" s="97">
        <f t="shared" si="190"/>
        <v>10800</v>
      </c>
      <c r="T124" s="97">
        <f t="shared" si="190"/>
        <v>26010</v>
      </c>
      <c r="U124" s="97">
        <f t="shared" si="190"/>
        <v>10800</v>
      </c>
      <c r="V124" s="97">
        <f t="shared" si="190"/>
        <v>26010</v>
      </c>
      <c r="W124" s="97">
        <f t="shared" si="190"/>
        <v>10800</v>
      </c>
      <c r="X124" s="97">
        <f t="shared" si="190"/>
        <v>26010</v>
      </c>
      <c r="Y124" s="97">
        <f t="shared" si="190"/>
        <v>26010</v>
      </c>
      <c r="Z124" s="97">
        <f t="shared" si="190"/>
        <v>0</v>
      </c>
      <c r="AA124" s="97">
        <f t="shared" si="191"/>
        <v>-40000</v>
      </c>
      <c r="AB124" s="97">
        <f t="shared" si="191"/>
        <v>0</v>
      </c>
      <c r="AC124" s="97">
        <f t="shared" si="191"/>
        <v>-40000</v>
      </c>
      <c r="AD124" s="97">
        <f t="shared" si="191"/>
        <v>0</v>
      </c>
      <c r="AE124" s="97">
        <f t="shared" si="191"/>
        <v>-40000</v>
      </c>
      <c r="AF124" s="97">
        <f t="shared" si="191"/>
        <v>-40000</v>
      </c>
      <c r="AG124" s="97">
        <f t="shared" si="191"/>
        <v>26010</v>
      </c>
      <c r="AH124" s="97">
        <f t="shared" si="191"/>
        <v>0</v>
      </c>
      <c r="AI124" s="97">
        <f t="shared" ref="AI124" si="193">AI107</f>
        <v>-40000</v>
      </c>
      <c r="AK124" s="102"/>
      <c r="AL124" s="103"/>
      <c r="AM124" s="104"/>
      <c r="AN124" s="9"/>
      <c r="AO124" s="9"/>
      <c r="AP124" s="100" t="s">
        <v>19</v>
      </c>
      <c r="AQ124" s="100" t="s">
        <v>20</v>
      </c>
      <c r="AR124" s="105" t="s">
        <v>21</v>
      </c>
      <c r="AS124" s="106" t="s">
        <v>22</v>
      </c>
      <c r="BJ124" s="16" t="s">
        <v>23</v>
      </c>
      <c r="BK124" s="16"/>
      <c r="BL124" s="16"/>
      <c r="BM124" s="16"/>
      <c r="BN124" s="16"/>
      <c r="BO124" s="16"/>
      <c r="BP124" s="16"/>
      <c r="BQ124" s="16"/>
      <c r="BR124" s="16"/>
      <c r="BS124" s="16"/>
      <c r="BT124" s="16"/>
      <c r="BU124" s="16"/>
      <c r="BV124" s="16"/>
      <c r="BW124" s="16"/>
      <c r="BX124" s="16"/>
      <c r="BY124" s="16"/>
      <c r="BZ124" s="16"/>
      <c r="CA124" t="s">
        <v>22</v>
      </c>
    </row>
    <row r="125" spans="4:116" ht="15.75" hidden="1" x14ac:dyDescent="0.25">
      <c r="F125">
        <v>6</v>
      </c>
      <c r="G125" s="140">
        <f>G124+G124*(G15+G16+G17-Q124-H20)</f>
        <v>389055.42042977654</v>
      </c>
      <c r="H125" s="140">
        <f>G125*G16</f>
        <v>7820.0139506385085</v>
      </c>
      <c r="I125" s="140">
        <f>G125*G17</f>
        <v>4668.6650451573187</v>
      </c>
      <c r="J125" s="140">
        <f>G125*G15</f>
        <v>19452.771021488828</v>
      </c>
      <c r="K125" s="117">
        <f>(G6*G8)/G125</f>
        <v>4.4209639801444572E-2</v>
      </c>
      <c r="L125" s="130">
        <f>(H125+I125-C17+C16)</f>
        <v>236478.67899579584</v>
      </c>
      <c r="M125" s="117">
        <f>IF(M87&lt;100,0,IF(L125&gt;M25,O26,IF(L125&gt;M24,O25,IF(L125&gt;M23,O24,IF(L125&gt;M22,O23,IF(L125&gt;M21,O22,IF(L125&gt;M20,O21,IF(L125&gt;M19,O20,IF(L125&gt;M18,O19,IF(L125&gt;M17,O18,IF(L125&gt;M16,O17,O16)))))))))))</f>
        <v>0.39340000000000003</v>
      </c>
      <c r="N125" s="117">
        <f t="shared" si="185"/>
        <v>7.9073400000000005E-3</v>
      </c>
      <c r="O125" s="117">
        <f>(IF(L125&gt;M25,N26,IF(L125&gt;M24,N25,IF(L125&gt;M23,N24,IF(L125&gt;M22,N23,IF(L125&gt;M21,N22,IF(L125&gt;M20,N21,IF(L125&gt;M19,N20,IF(L125&gt;M18,N19,IF(L125&gt;M17,N18,IF(L125&gt;M16,N17,N16))))))))))*I125)/G125</f>
        <v>6.4236000000000007E-3</v>
      </c>
      <c r="P125" s="117">
        <f t="shared" si="187"/>
        <v>1.433094E-2</v>
      </c>
      <c r="Q125" s="261">
        <f t="shared" si="188"/>
        <v>5.8540579801444573E-2</v>
      </c>
      <c r="R125" s="3"/>
      <c r="S125" s="97">
        <f t="shared" si="190"/>
        <v>0</v>
      </c>
      <c r="T125" s="97">
        <f t="shared" si="190"/>
        <v>0</v>
      </c>
      <c r="U125" s="97">
        <f t="shared" si="190"/>
        <v>0</v>
      </c>
      <c r="V125" s="97">
        <f t="shared" si="190"/>
        <v>0</v>
      </c>
      <c r="W125" s="97">
        <f t="shared" si="190"/>
        <v>0</v>
      </c>
      <c r="X125" s="97">
        <f t="shared" si="190"/>
        <v>0</v>
      </c>
      <c r="Y125" s="97">
        <f t="shared" si="190"/>
        <v>0</v>
      </c>
      <c r="Z125" s="97">
        <f t="shared" si="190"/>
        <v>0</v>
      </c>
      <c r="AA125" s="97">
        <f t="shared" si="191"/>
        <v>0</v>
      </c>
      <c r="AB125" s="97">
        <f t="shared" si="191"/>
        <v>0</v>
      </c>
      <c r="AC125" s="97">
        <f t="shared" si="191"/>
        <v>0</v>
      </c>
      <c r="AD125" s="97">
        <f t="shared" si="191"/>
        <v>0</v>
      </c>
      <c r="AE125" s="97">
        <f t="shared" si="191"/>
        <v>0</v>
      </c>
      <c r="AF125" s="97">
        <f t="shared" si="191"/>
        <v>0</v>
      </c>
      <c r="AG125" s="97">
        <f t="shared" si="191"/>
        <v>0</v>
      </c>
      <c r="AH125" s="97">
        <f t="shared" si="191"/>
        <v>0</v>
      </c>
      <c r="AI125" s="97">
        <f t="shared" ref="AI125" si="194">AI108</f>
        <v>0</v>
      </c>
      <c r="AK125" s="102"/>
      <c r="AL125" s="103"/>
      <c r="AM125" s="108"/>
      <c r="AN125" s="9"/>
      <c r="AO125" s="9"/>
      <c r="AP125" s="100"/>
      <c r="AQ125" s="100"/>
      <c r="AR125" s="105"/>
      <c r="AS125" s="106"/>
      <c r="BJ125" s="16"/>
      <c r="BK125" s="16"/>
      <c r="BL125" s="16"/>
      <c r="BM125" s="16"/>
      <c r="BN125" s="16"/>
      <c r="BO125" s="16"/>
      <c r="BP125" s="16"/>
      <c r="BQ125" s="16"/>
      <c r="BR125" s="16"/>
      <c r="BS125" s="16"/>
      <c r="BT125" s="16"/>
      <c r="BU125" s="16"/>
      <c r="BV125" s="16"/>
      <c r="BW125" s="16"/>
      <c r="BX125" s="16"/>
      <c r="BY125" s="16"/>
      <c r="BZ125" s="16"/>
      <c r="CS125" t="s">
        <v>25</v>
      </c>
      <c r="CT125" t="s">
        <v>26</v>
      </c>
      <c r="CU125" t="s">
        <v>27</v>
      </c>
      <c r="CV125" s="16" t="s">
        <v>28</v>
      </c>
      <c r="CW125" s="16" t="s">
        <v>61</v>
      </c>
      <c r="CX125" s="16" t="s">
        <v>62</v>
      </c>
      <c r="CY125" s="16" t="s">
        <v>63</v>
      </c>
      <c r="CZ125" s="16" t="s">
        <v>64</v>
      </c>
      <c r="DA125" s="16" t="s">
        <v>65</v>
      </c>
      <c r="DB125" s="16" t="s">
        <v>3</v>
      </c>
      <c r="DC125" s="16" t="s">
        <v>4</v>
      </c>
      <c r="DD125" s="16" t="s">
        <v>13</v>
      </c>
      <c r="DE125" s="4" t="s">
        <v>170</v>
      </c>
      <c r="DF125" s="4" t="s">
        <v>171</v>
      </c>
      <c r="DG125" s="4" t="s">
        <v>172</v>
      </c>
      <c r="DH125" s="4" t="s">
        <v>174</v>
      </c>
      <c r="DI125" s="4" t="s">
        <v>176</v>
      </c>
      <c r="DJ125" s="4" t="s">
        <v>192</v>
      </c>
      <c r="DK125" s="4" t="s">
        <v>196</v>
      </c>
      <c r="DL125" s="4" t="s">
        <v>198</v>
      </c>
    </row>
    <row r="126" spans="4:116" ht="15.75" hidden="1" x14ac:dyDescent="0.25">
      <c r="F126">
        <v>7</v>
      </c>
      <c r="G126" s="140">
        <f>G125+G125*(G15+G16+G17-Q125-H20)</f>
        <v>390440.23215161177</v>
      </c>
      <c r="H126" s="140">
        <f>G126*G16</f>
        <v>7847.8486662473961</v>
      </c>
      <c r="I126" s="140">
        <f>G126*G17</f>
        <v>4685.2827858193414</v>
      </c>
      <c r="J126" s="140">
        <f>G126*G15</f>
        <v>19522.011607580589</v>
      </c>
      <c r="K126" s="117">
        <f>(G6*G8)/G126</f>
        <v>4.4052837242759019E-2</v>
      </c>
      <c r="L126" s="130">
        <f>(H126+I126-C17+C16)</f>
        <v>236523.13145206674</v>
      </c>
      <c r="M126" s="117">
        <f>IF(M87&lt;100,0,IF(L126&gt;M25,O26,IF(L126&gt;M24,O25,IF(L126&gt;M23,O24,IF(L126&gt;M22,O23,IF(L126&gt;M21,O22,IF(L126&gt;M20,O21,IF(L126&gt;M19,O20,IF(L126&gt;M18,O19,IF(L126&gt;M17,O18,IF(L126&gt;M16,O17,O16)))))))))))</f>
        <v>0.39340000000000003</v>
      </c>
      <c r="N126" s="117">
        <f t="shared" si="185"/>
        <v>7.9073399999999988E-3</v>
      </c>
      <c r="O126" s="117">
        <f>(IF(L126&gt;M25,N26,IF(L126&gt;M24,N25,IF(L126&gt;M23,N24,IF(L126&gt;M22,N23,IF(L126&gt;M21,N22,IF(L126&gt;M20,N21,IF(L126&gt;M19,N20,IF(L126&gt;M18,N19,IF(L126&gt;M17,N18,IF(L126&gt;M16,N17,N16))))))))))*I126)/G126</f>
        <v>6.4236000000000007E-3</v>
      </c>
      <c r="P126" s="117">
        <f t="shared" si="187"/>
        <v>1.433094E-2</v>
      </c>
      <c r="Q126" s="261">
        <f t="shared" si="188"/>
        <v>5.8383777242759019E-2</v>
      </c>
      <c r="R126" s="3" t="s">
        <v>31</v>
      </c>
      <c r="S126" s="97">
        <f t="shared" si="190"/>
        <v>0</v>
      </c>
      <c r="T126" s="97">
        <f t="shared" si="190"/>
        <v>0</v>
      </c>
      <c r="U126" s="97">
        <f t="shared" si="190"/>
        <v>0</v>
      </c>
      <c r="V126" s="97">
        <f t="shared" si="190"/>
        <v>0</v>
      </c>
      <c r="W126" s="97">
        <f t="shared" si="190"/>
        <v>0</v>
      </c>
      <c r="X126" s="97">
        <f t="shared" si="190"/>
        <v>0</v>
      </c>
      <c r="Y126" s="97">
        <f t="shared" si="190"/>
        <v>0</v>
      </c>
      <c r="Z126" s="97">
        <f t="shared" si="190"/>
        <v>100000</v>
      </c>
      <c r="AA126" s="97">
        <f t="shared" si="191"/>
        <v>0</v>
      </c>
      <c r="AB126" s="97">
        <f t="shared" si="191"/>
        <v>100000</v>
      </c>
      <c r="AC126" s="97">
        <f t="shared" si="191"/>
        <v>0</v>
      </c>
      <c r="AD126" s="97">
        <f t="shared" si="191"/>
        <v>100000</v>
      </c>
      <c r="AE126" s="97">
        <f t="shared" si="191"/>
        <v>0</v>
      </c>
      <c r="AF126" s="97">
        <f t="shared" si="191"/>
        <v>0</v>
      </c>
      <c r="AG126" s="97">
        <f t="shared" si="191"/>
        <v>344000</v>
      </c>
      <c r="AH126" s="97" t="e">
        <f t="shared" si="191"/>
        <v>#REF!</v>
      </c>
      <c r="AI126" s="97" t="e">
        <f t="shared" ref="AI126" si="195">AI109</f>
        <v>#REF!</v>
      </c>
      <c r="AK126" s="110">
        <v>0</v>
      </c>
      <c r="AL126" s="110">
        <v>41675</v>
      </c>
      <c r="AM126" s="111">
        <v>0.24679999999999999</v>
      </c>
      <c r="AN126" s="113">
        <v>-5.9900000000000002E-2</v>
      </c>
      <c r="AO126" s="113">
        <v>0.13689999999999999</v>
      </c>
      <c r="AP126" s="13">
        <f t="shared" ref="AP126:AP133" si="196">AL126-AK126</f>
        <v>41675</v>
      </c>
      <c r="AQ126" s="13">
        <f t="shared" ref="AQ126:AQ133" si="197">AP126*AM126</f>
        <v>10285.39</v>
      </c>
      <c r="AR126" s="97">
        <f>AQ126</f>
        <v>10285.39</v>
      </c>
      <c r="AS126" s="114">
        <f>S132*AM126</f>
        <v>12142.56</v>
      </c>
      <c r="AT126" s="114">
        <f>T132*AM126</f>
        <v>55280.731999999996</v>
      </c>
      <c r="AU126" s="115">
        <f>U132*AM126</f>
        <v>11127.165568</v>
      </c>
      <c r="AV126" s="115">
        <f>V132*AM126</f>
        <v>57314.916831999995</v>
      </c>
      <c r="AW126" s="115">
        <f>W132*AM126</f>
        <v>12651.9552</v>
      </c>
      <c r="AX126" s="43">
        <f>X132*AM126</f>
        <v>55790.127199999995</v>
      </c>
      <c r="AY126" s="115">
        <f>Y132*AM126</f>
        <v>56299.522400000002</v>
      </c>
      <c r="AZ126" s="115">
        <f>Z132*AM126</f>
        <v>0</v>
      </c>
      <c r="BA126" s="115">
        <f>AA132*AM126</f>
        <v>9934.2692471926548</v>
      </c>
      <c r="BB126" s="43">
        <f>AB132*AM126</f>
        <v>0</v>
      </c>
      <c r="BC126" s="43">
        <f>AC132*AM126</f>
        <v>9872</v>
      </c>
      <c r="BD126" s="43">
        <f>AD132*AM126</f>
        <v>353.54929866266014</v>
      </c>
      <c r="BE126" s="43">
        <f>AE132*AM126</f>
        <v>9872</v>
      </c>
      <c r="BF126" s="43" t="e">
        <f>AF132*AM126</f>
        <v>#VALUE!</v>
      </c>
      <c r="BG126" s="43">
        <f>AG132*AM126</f>
        <v>55280.731999999996</v>
      </c>
      <c r="BH126" s="43">
        <f>AH132*AM126</f>
        <v>0</v>
      </c>
      <c r="BI126" s="43">
        <f>AI132*AM126</f>
        <v>9872</v>
      </c>
      <c r="BJ126" s="115">
        <f>S126*AO126</f>
        <v>0</v>
      </c>
      <c r="BK126" s="147">
        <f>T126*AO126</f>
        <v>0</v>
      </c>
      <c r="BL126" s="115">
        <f>U126*AO126</f>
        <v>0</v>
      </c>
      <c r="BM126" s="115">
        <f>V126*AO126</f>
        <v>0</v>
      </c>
      <c r="BN126" s="115">
        <f>W126*AO126</f>
        <v>0</v>
      </c>
      <c r="BO126" s="115">
        <f>X126*AO126</f>
        <v>0</v>
      </c>
      <c r="BP126" s="43">
        <f>Y126*AO126</f>
        <v>0</v>
      </c>
      <c r="BQ126" s="43">
        <f>Z126*AO126</f>
        <v>13690</v>
      </c>
      <c r="BR126" s="43">
        <f>AA126*AO126</f>
        <v>0</v>
      </c>
      <c r="BS126" s="43">
        <f>AB126*AO126</f>
        <v>13690</v>
      </c>
      <c r="BT126" s="43">
        <f>AC126*AO126</f>
        <v>0</v>
      </c>
      <c r="BU126" s="43">
        <f>AD126*AO126</f>
        <v>13690</v>
      </c>
      <c r="BV126" s="43">
        <f>AE126*AO126</f>
        <v>0</v>
      </c>
      <c r="BW126" s="43">
        <f>AF126*AO126</f>
        <v>0</v>
      </c>
      <c r="BX126" s="43">
        <f>AG126*AO126</f>
        <v>47093.599999999999</v>
      </c>
      <c r="BY126" s="43" t="e">
        <f>AH126*AO126</f>
        <v>#REF!</v>
      </c>
      <c r="BZ126" s="43" t="e">
        <f>AI126*AO126</f>
        <v>#REF!</v>
      </c>
      <c r="CA126" s="44">
        <f>AN126*S128</f>
        <v>0</v>
      </c>
      <c r="CB126" s="44">
        <f>AN126*T128</f>
        <v>0</v>
      </c>
      <c r="CC126" s="44">
        <f>AN126*U128</f>
        <v>-414.17255999999998</v>
      </c>
      <c r="CD126" s="44">
        <f>AN126*V128</f>
        <v>0</v>
      </c>
      <c r="CE126" s="44">
        <f>AN126*W128</f>
        <v>-207.08627999999999</v>
      </c>
      <c r="CF126" s="44">
        <f>AN126*X128</f>
        <v>-207.08627999999999</v>
      </c>
      <c r="CG126" s="44">
        <f>AN126*Y128</f>
        <v>-414.17255999999998</v>
      </c>
      <c r="CH126" s="44">
        <f>AN126*Z128</f>
        <v>0</v>
      </c>
      <c r="CI126" s="44">
        <f>AN126*AA128</f>
        <v>-597.66147902245905</v>
      </c>
      <c r="CJ126" s="44">
        <f>AN126*AB128</f>
        <v>0</v>
      </c>
      <c r="CK126" s="44">
        <f>AN126*AC128</f>
        <v>0</v>
      </c>
      <c r="CL126" s="44">
        <f>AN126*AD128</f>
        <v>-173.34232756035286</v>
      </c>
      <c r="CM126" s="44">
        <f>AN126*AE128</f>
        <v>0</v>
      </c>
      <c r="CN126" s="44">
        <f>AN126*AF128</f>
        <v>0</v>
      </c>
      <c r="CO126" s="44">
        <f>AN126*AG128</f>
        <v>0</v>
      </c>
      <c r="CP126" s="44">
        <f>AN126*AH128</f>
        <v>0</v>
      </c>
      <c r="CQ126" s="44">
        <f>AN126*AI128</f>
        <v>-2.5794302542055765E-3</v>
      </c>
      <c r="CR126" t="s">
        <v>32</v>
      </c>
      <c r="CS126">
        <v>11635</v>
      </c>
      <c r="CT126" s="117">
        <v>0.15</v>
      </c>
      <c r="CU126">
        <f>CT126*CS126</f>
        <v>1745.25</v>
      </c>
      <c r="CV126" s="16">
        <f>IF(S133&gt;CS126,CU126,CU126-(CS126-S133)*CT126)</f>
        <v>1745.25</v>
      </c>
      <c r="CW126" s="16">
        <f>IF(T133&gt;CS126,CU126,CU126-(CS126-T133)*CT126)</f>
        <v>1745.25</v>
      </c>
      <c r="CX126" s="16">
        <f>IF(U133&gt;CS126,CU126,CU126-(CS126-U133)*CT126)</f>
        <v>1745.25</v>
      </c>
      <c r="CY126" s="16">
        <f>IF(V133&gt;CS126,CU126,CU126-(CS126-V133)*CT126)</f>
        <v>1745.25</v>
      </c>
      <c r="CZ126" s="16">
        <f>IF(W133&gt;CS126,CU126,CU126-(CS126-W133)*CT126)</f>
        <v>1745.25</v>
      </c>
      <c r="DA126" s="16">
        <f>IF(X133&gt;CS126,CU126,CU126-(CS126-X133)*CT126)</f>
        <v>1745.25</v>
      </c>
      <c r="DB126" s="16">
        <f>IF(Y133&gt;CS126,CU126,CU126-(CS126-Y133)*CT126)</f>
        <v>1745.25</v>
      </c>
      <c r="DC126" s="16">
        <f>IF(Z133&gt;CS126,CU126,CU126-(CS126-Z133)*CT126)</f>
        <v>1745.25</v>
      </c>
      <c r="DD126" s="16">
        <f>IF(AA133&gt;CS126,CU126,CU126-(CS126-AA133)*CT126)</f>
        <v>1745.25</v>
      </c>
      <c r="DE126" s="219">
        <f>IF(AB133&gt;CS126,CU126,CU126-(CS126-AB133)*CT126)</f>
        <v>1745.25</v>
      </c>
      <c r="DF126" s="219">
        <f>IF(AC133&gt;CS126,CU126,CU126-(CS126-AC133)*CT126)</f>
        <v>1745.25</v>
      </c>
      <c r="DG126" s="219">
        <f>IF(AD133&gt;CS126,CU126,CU126-(CS126-AD133)*CT126)</f>
        <v>1745.25</v>
      </c>
      <c r="DH126" s="219">
        <f>IF(AE133&gt;CS126,CU126,CU126-(CS126-AE133)*CT126)</f>
        <v>1745.25</v>
      </c>
      <c r="DI126" s="219" t="e">
        <f>IF(AF133&gt;CS126,CU126,CU126-(CS126-AF133)*CT126)</f>
        <v>#VALUE!</v>
      </c>
      <c r="DJ126" s="219">
        <f>IF(AG133&gt;CS126,CU126,CU126-(CS126-AG133)*CT126)</f>
        <v>1745.25</v>
      </c>
      <c r="DK126" s="219" t="e">
        <f>IF(AH133&gt;CS126,CU126,CU126-(CS126-AH133)*CT126)</f>
        <v>#REF!</v>
      </c>
      <c r="DL126" s="219" t="e">
        <f>IF(AI133&gt;CS126,CU126,CU126-(CS126-AI133)*CT126)</f>
        <v>#REF!</v>
      </c>
    </row>
    <row r="127" spans="4:116" ht="15.75" hidden="1" x14ac:dyDescent="0.25">
      <c r="F127">
        <v>8</v>
      </c>
      <c r="G127" s="140">
        <f>G126+G126*(G15+G16+G17-Q126-H20)</f>
        <v>391891.19502767606</v>
      </c>
      <c r="H127" s="140">
        <f>G127*G16</f>
        <v>7877.013020056289</v>
      </c>
      <c r="I127" s="140">
        <f>G127*G17</f>
        <v>4702.6943403321129</v>
      </c>
      <c r="J127" s="140">
        <f>G127*G15</f>
        <v>19594.559751383804</v>
      </c>
      <c r="K127" s="117">
        <f>(G6*G8)/G127</f>
        <v>4.3889733217367402E-2</v>
      </c>
      <c r="L127" s="130">
        <f>(H127+I127-C17+C16)</f>
        <v>236569.70736038839</v>
      </c>
      <c r="M127" s="117">
        <f>IF(M87&lt;100,0,IF(L127&gt;M25,O26,IF(L127&gt;M24,O25,IF(L127&gt;M23,O24,IF(L127&gt;M22,O23,IF(L127&gt;M21,O22,IF(L127&gt;M20,O21,IF(L127&gt;M19,O20,IF(L127&gt;M18,O19,IF(L127&gt;M17,O18,IF(L127&gt;M16,O17,O16)))))))))))</f>
        <v>0.39340000000000003</v>
      </c>
      <c r="N127" s="117">
        <f t="shared" si="185"/>
        <v>7.9073400000000005E-3</v>
      </c>
      <c r="O127" s="117">
        <f>(IF(L127&gt;M25,N26,IF(L127&gt;M24,N25,IF(L127&gt;M23,N24,IF(L127&gt;M22,N23,IF(L127&gt;M21,N22,IF(L127&gt;M20,N21,IF(L127&gt;M19,N20,IF(L127&gt;M18,N19,IF(L127&gt;M17,N18,IF(L127&gt;M16,N17,N16))))))))))*I127)/G127</f>
        <v>6.4236000000000007E-3</v>
      </c>
      <c r="P127" s="117">
        <f t="shared" si="187"/>
        <v>1.433094E-2</v>
      </c>
      <c r="Q127" s="261">
        <f t="shared" si="188"/>
        <v>5.8220673217367402E-2</v>
      </c>
      <c r="R127" s="3" t="s">
        <v>35</v>
      </c>
      <c r="S127" s="97">
        <f t="shared" ref="S127:Z127" si="198">1.16*S126</f>
        <v>0</v>
      </c>
      <c r="T127" s="97">
        <f t="shared" si="198"/>
        <v>0</v>
      </c>
      <c r="U127" s="97">
        <f t="shared" si="198"/>
        <v>0</v>
      </c>
      <c r="V127" s="97">
        <f t="shared" si="198"/>
        <v>0</v>
      </c>
      <c r="W127" s="97">
        <f t="shared" si="198"/>
        <v>0</v>
      </c>
      <c r="X127" s="97">
        <f t="shared" si="198"/>
        <v>0</v>
      </c>
      <c r="Y127" s="97">
        <f t="shared" si="198"/>
        <v>0</v>
      </c>
      <c r="Z127" s="97">
        <f t="shared" si="198"/>
        <v>115999.99999999999</v>
      </c>
      <c r="AA127" s="97">
        <f t="shared" ref="AA127:AH127" si="199">1.16*AA126</f>
        <v>0</v>
      </c>
      <c r="AB127" s="97">
        <f t="shared" si="199"/>
        <v>115999.99999999999</v>
      </c>
      <c r="AC127" s="97">
        <f t="shared" si="199"/>
        <v>0</v>
      </c>
      <c r="AD127" s="97">
        <f t="shared" si="199"/>
        <v>115999.99999999999</v>
      </c>
      <c r="AE127" s="97">
        <f t="shared" si="199"/>
        <v>0</v>
      </c>
      <c r="AF127" s="97">
        <f t="shared" si="199"/>
        <v>0</v>
      </c>
      <c r="AG127" s="97">
        <f t="shared" si="199"/>
        <v>399040</v>
      </c>
      <c r="AH127" s="97" t="e">
        <f t="shared" si="199"/>
        <v>#REF!</v>
      </c>
      <c r="AI127" s="97" t="e">
        <f t="shared" ref="AI127" si="200">1.16*AI126</f>
        <v>#REF!</v>
      </c>
      <c r="AK127" s="118">
        <f>AL126+1</f>
        <v>41676</v>
      </c>
      <c r="AL127" s="119">
        <v>46605</v>
      </c>
      <c r="AM127" s="120">
        <v>0.29820000000000002</v>
      </c>
      <c r="AN127" s="122">
        <v>1.0999999999999999E-2</v>
      </c>
      <c r="AO127" s="122">
        <v>0.19650000000000001</v>
      </c>
      <c r="AP127" s="13">
        <f t="shared" si="196"/>
        <v>4929</v>
      </c>
      <c r="AQ127" s="13">
        <f t="shared" si="197"/>
        <v>1469.8278</v>
      </c>
      <c r="AR127" s="97">
        <f>AR126+AQ127</f>
        <v>11755.217799999999</v>
      </c>
      <c r="AS127" s="114">
        <f>AR126+AM127*(S132-AK127)</f>
        <v>12529.0468</v>
      </c>
      <c r="AT127" s="114">
        <f>AR126+AM127*(T132-AK127)</f>
        <v>64651.424800000001</v>
      </c>
      <c r="AU127" s="115">
        <f>AR126+AM127*(U132-AK127)</f>
        <v>11302.180432000001</v>
      </c>
      <c r="AV127" s="115">
        <f>AR126+AM127*(V132-AK127)</f>
        <v>67109.260768000007</v>
      </c>
      <c r="AW127" s="115">
        <f>AR126+AM127*(W132-AK127)</f>
        <v>13144.5316</v>
      </c>
      <c r="AX127" s="43">
        <f>AR126+AM127*(X132-AK127)</f>
        <v>65266.909600000006</v>
      </c>
      <c r="AY127" s="115">
        <f>AR126+AM127*(Y132-AK127)</f>
        <v>65882.394400000005</v>
      </c>
      <c r="AZ127" s="115">
        <f>AR126+AM127*(Z132-AK127)</f>
        <v>-2142.3932000000023</v>
      </c>
      <c r="BA127" s="115">
        <f>AR126+AM127*(AA132-AK127)</f>
        <v>9860.8446019159237</v>
      </c>
      <c r="BB127" s="43">
        <f>AR126+AM127*(AB132-AK127)</f>
        <v>-2142.3932000000023</v>
      </c>
      <c r="BC127" s="43">
        <f>AR126+AM127*(AC132-AK127)</f>
        <v>9785.6067999999996</v>
      </c>
      <c r="BD127" s="43">
        <f>AR126+AM127*(AD132-AK127)</f>
        <v>-1715.2116730097041</v>
      </c>
      <c r="BE127" s="43">
        <f>AR126+AM127*(AE132-AK127)</f>
        <v>9785.6067999999996</v>
      </c>
      <c r="BF127" s="43" t="e">
        <f>AR126+AM127*(AF132-AK127)</f>
        <v>#VALUE!</v>
      </c>
      <c r="BG127" s="43">
        <f>AR126+AM127*(AG132-AK127)</f>
        <v>64651.424800000001</v>
      </c>
      <c r="BH127" s="43">
        <f>AR126+AM127*(AH132-AK127)</f>
        <v>-2142.3932000000023</v>
      </c>
      <c r="BI127" s="43">
        <f>AR126+AM127*(AI132-AK127)</f>
        <v>9785.6067999999996</v>
      </c>
      <c r="BJ127" s="115">
        <f>S126*AO127</f>
        <v>0</v>
      </c>
      <c r="BK127" s="115">
        <f>T126*AO127</f>
        <v>0</v>
      </c>
      <c r="BL127" s="115">
        <f>U126*AO127</f>
        <v>0</v>
      </c>
      <c r="BM127" s="115">
        <f>V126*AO127</f>
        <v>0</v>
      </c>
      <c r="BN127" s="115">
        <f>W126*AO127</f>
        <v>0</v>
      </c>
      <c r="BO127" s="115">
        <f>X126*AO127</f>
        <v>0</v>
      </c>
      <c r="BP127" s="43">
        <f>Y126*AO127</f>
        <v>0</v>
      </c>
      <c r="BQ127" s="43">
        <f>Z126*AO127</f>
        <v>19650</v>
      </c>
      <c r="BR127" s="43">
        <f>AA126*AO127</f>
        <v>0</v>
      </c>
      <c r="BS127" s="43">
        <f>AB126*AO127</f>
        <v>19650</v>
      </c>
      <c r="BT127" s="43">
        <f>AC126*AO127</f>
        <v>0</v>
      </c>
      <c r="BU127" s="43">
        <f>AD126*AO127</f>
        <v>19650</v>
      </c>
      <c r="BV127" s="43">
        <f>AE126*AO127</f>
        <v>0</v>
      </c>
      <c r="BW127" s="43">
        <f>AF126*AO127</f>
        <v>0</v>
      </c>
      <c r="BX127" s="43">
        <f>AG126*AO127</f>
        <v>67596</v>
      </c>
      <c r="BY127" s="43" t="e">
        <f>AH126*AO127</f>
        <v>#REF!</v>
      </c>
      <c r="BZ127" s="43" t="e">
        <f>AI126*AO127</f>
        <v>#REF!</v>
      </c>
      <c r="CA127" s="44">
        <f>AN127*S128</f>
        <v>0</v>
      </c>
      <c r="CB127" s="44">
        <f>AN127*T128</f>
        <v>0</v>
      </c>
      <c r="CC127" s="44">
        <f>AN127*U128</f>
        <v>76.058399999999992</v>
      </c>
      <c r="CD127" s="44">
        <f>AN127*V128</f>
        <v>0</v>
      </c>
      <c r="CE127" s="44">
        <f>AN127*W128</f>
        <v>38.029199999999996</v>
      </c>
      <c r="CF127" s="44">
        <f>AN127*X128</f>
        <v>38.029199999999996</v>
      </c>
      <c r="CG127" s="44">
        <f>AN127*Y128</f>
        <v>76.058399999999992</v>
      </c>
      <c r="CH127" s="44">
        <f>AN127*Z128</f>
        <v>0</v>
      </c>
      <c r="CI127" s="44">
        <f>AN127*AA128</f>
        <v>109.75419481213771</v>
      </c>
      <c r="CJ127" s="44">
        <f>AN127*AB128</f>
        <v>0</v>
      </c>
      <c r="CK127" s="44">
        <f>AN127*AC128</f>
        <v>0</v>
      </c>
      <c r="CL127" s="44">
        <f>AN127*AD128</f>
        <v>31.832480854154948</v>
      </c>
      <c r="CM127" s="44">
        <f>AN127*AE128</f>
        <v>0</v>
      </c>
      <c r="CN127" s="44">
        <f>AN127*AF128</f>
        <v>0</v>
      </c>
      <c r="CO127" s="44">
        <f>AN127*AG128</f>
        <v>0</v>
      </c>
      <c r="CP127" s="44">
        <f>AN127*AH128</f>
        <v>0</v>
      </c>
      <c r="CQ127" s="44">
        <f>AN127*AI128</f>
        <v>4.7368502164042307E-4</v>
      </c>
      <c r="CR127" t="s">
        <v>36</v>
      </c>
      <c r="CS127">
        <v>9895</v>
      </c>
      <c r="CT127" s="117">
        <v>9.6799999999999997E-2</v>
      </c>
      <c r="CU127">
        <f>CT127*CS127</f>
        <v>957.83600000000001</v>
      </c>
      <c r="CV127" s="16">
        <f>IF(S133&gt;CS127,CU127,CU127-(CS127-S133)*CT127)</f>
        <v>957.83600000000001</v>
      </c>
      <c r="CW127" s="16">
        <f>IF(T133&gt;CS127,CU127,CU127-(CS127-T133)*CT127)</f>
        <v>957.83600000000001</v>
      </c>
      <c r="CX127" s="16">
        <f>IF(U133&gt;CS127,CU127,CU127-(CS127-U133)*CT127)</f>
        <v>957.83600000000001</v>
      </c>
      <c r="CY127" s="16">
        <f>IF(V133&gt;CS127,CU127,CU127-(CS127-V133)*CT127)</f>
        <v>957.83600000000001</v>
      </c>
      <c r="CZ127" s="16">
        <f>IF(W133&gt;CS127,CU127,CU127-(CS127-W133)*CT127)</f>
        <v>957.83600000000001</v>
      </c>
      <c r="DA127" s="16">
        <f>IF(X133&gt;CS127,CU127,CU127-(CS127-X133)*CT127)</f>
        <v>957.83600000000001</v>
      </c>
      <c r="DB127" s="16">
        <f>IF(Y133&gt;CS127,CU127,CU127-(CS127-Y133)*CT127)</f>
        <v>957.83600000000001</v>
      </c>
      <c r="DC127" s="16">
        <f>IF(Z133&gt;CS127,CU127,CU127-(CS127-Z133)*CT127)</f>
        <v>957.83600000000001</v>
      </c>
      <c r="DD127" s="16">
        <f>IF(AA133&gt;CS127,CU127,CU127-(CS127-AA133)*CT127)</f>
        <v>957.83600000000001</v>
      </c>
      <c r="DE127" s="219">
        <f>IF(AB133&gt;CS127,CU127,CU127-(CS127-AB133)*CT127)</f>
        <v>957.83600000000001</v>
      </c>
      <c r="DF127" s="219">
        <f>IF(AC133&gt;CS127,CU127,CU127-(CS127-AC133)*CT127)</f>
        <v>957.83600000000001</v>
      </c>
      <c r="DG127" s="219">
        <f>IF(AD133&gt;CS127,CU127,CU127-(CS127-AD133)*CT127)</f>
        <v>957.83600000000001</v>
      </c>
      <c r="DH127" s="219">
        <f>IF(AE133&gt;CS127,CU127,CU127-(CS127-AE133)*CT127)</f>
        <v>957.83600000000001</v>
      </c>
      <c r="DI127" s="219" t="e">
        <f>IF(AF133&gt;CS127,CU127,CU127-(CS127-AF133)*CT127)</f>
        <v>#VALUE!</v>
      </c>
      <c r="DJ127" s="219">
        <f>IF(AG133&gt;CS127,CU127,CU127-(CS127-AG133)*CT127)</f>
        <v>957.83600000000001</v>
      </c>
      <c r="DK127" s="219" t="e">
        <f>IF(AH133&gt;CS127,CU127,CU127-(CS127-AH133)*CT127)</f>
        <v>#REF!</v>
      </c>
      <c r="DL127" s="219" t="e">
        <f>IF(AI133&gt;CS127,CU127,CU127-(CS127-AI133)*CT127)</f>
        <v>#REF!</v>
      </c>
    </row>
    <row r="128" spans="4:116" ht="15.75" hidden="1" x14ac:dyDescent="0.25">
      <c r="F128">
        <v>9</v>
      </c>
      <c r="G128" s="140">
        <f>G127+G127*(G15+G16+G17-Q127-H20)</f>
        <v>393411.46903642482</v>
      </c>
      <c r="H128" s="140">
        <f>G128*G16</f>
        <v>7907.5705276321387</v>
      </c>
      <c r="I128" s="140">
        <f>G128*G17</f>
        <v>4720.9376284370983</v>
      </c>
      <c r="J128" s="140">
        <f>G128*G15</f>
        <v>19670.573451821241</v>
      </c>
      <c r="K128" s="117">
        <f>(G6*G8)/G128</f>
        <v>4.3720128551736508E-2</v>
      </c>
      <c r="L128" s="130">
        <f>(H128+I128-C17+C16)</f>
        <v>236618.50815606923</v>
      </c>
      <c r="M128" s="117">
        <f>IF(M87&lt;100,0,IF(L128&gt;M25,O26,IF(L128&gt;M24,O25,IF(L128&gt;M23,O24,IF(L128&gt;M22,O23,IF(L128&gt;M21,O22,IF(L128&gt;M20,O21,IF(L128&gt;M19,O20,IF(L128&gt;M18,O19,IF(L128&gt;M17,O18,IF(L128&gt;M16,O17,O16)))))))))))</f>
        <v>0.39340000000000003</v>
      </c>
      <c r="N128" s="117">
        <f t="shared" si="185"/>
        <v>7.9073400000000005E-3</v>
      </c>
      <c r="O128" s="117">
        <f>(IF(L128&gt;M25,N26,IF(L128&gt;M24,N25,IF(L128&gt;M23,N24,IF(L128&gt;M22,N23,IF(L128&gt;M21,N22,IF(L128&gt;M20,N21,IF(L128&gt;M19,N20,IF(L128&gt;M18,N19,IF(L128&gt;M17,N18,IF(L128&gt;M16,N17,N16))))))))))*I128)/G128</f>
        <v>6.4236000000000007E-3</v>
      </c>
      <c r="P128" s="117">
        <f t="shared" si="187"/>
        <v>1.433094E-2</v>
      </c>
      <c r="Q128" s="261">
        <f t="shared" si="188"/>
        <v>5.8051068551736508E-2</v>
      </c>
      <c r="R128" s="3" t="s">
        <v>38</v>
      </c>
      <c r="S128" s="97">
        <f t="shared" ref="S128:Z128" si="201">S111</f>
        <v>0</v>
      </c>
      <c r="T128" s="97">
        <f t="shared" si="201"/>
        <v>0</v>
      </c>
      <c r="U128" s="97">
        <f t="shared" si="201"/>
        <v>6914.4</v>
      </c>
      <c r="V128" s="97">
        <f t="shared" si="201"/>
        <v>0</v>
      </c>
      <c r="W128" s="97">
        <f t="shared" si="201"/>
        <v>3457.2</v>
      </c>
      <c r="X128" s="97">
        <f t="shared" si="201"/>
        <v>3457.2</v>
      </c>
      <c r="Y128" s="97">
        <f t="shared" si="201"/>
        <v>6914.4</v>
      </c>
      <c r="Z128" s="97">
        <f t="shared" si="201"/>
        <v>0</v>
      </c>
      <c r="AA128" s="97">
        <f t="shared" ref="AA128:AH128" si="202">AA111</f>
        <v>9977.6540738307012</v>
      </c>
      <c r="AB128" s="97">
        <f t="shared" si="202"/>
        <v>0</v>
      </c>
      <c r="AC128" s="97">
        <f t="shared" si="202"/>
        <v>0</v>
      </c>
      <c r="AD128" s="97">
        <f t="shared" si="202"/>
        <v>2893.8618958322681</v>
      </c>
      <c r="AE128" s="97">
        <f t="shared" si="202"/>
        <v>0</v>
      </c>
      <c r="AF128" s="97">
        <f t="shared" si="202"/>
        <v>0</v>
      </c>
      <c r="AG128" s="97">
        <f t="shared" si="202"/>
        <v>0</v>
      </c>
      <c r="AH128" s="97">
        <f t="shared" si="202"/>
        <v>0</v>
      </c>
      <c r="AI128" s="97">
        <f t="shared" ref="AI128" si="203">AI111</f>
        <v>4.3062274694583916E-2</v>
      </c>
      <c r="AK128" s="67">
        <f t="shared" ref="AK128:AK134" si="204">AL127+1</f>
        <v>46606</v>
      </c>
      <c r="AL128" s="123">
        <v>83351</v>
      </c>
      <c r="AM128" s="111">
        <v>0.35320000000000001</v>
      </c>
      <c r="AN128" s="113">
        <v>8.6900000000000005E-2</v>
      </c>
      <c r="AO128" s="113">
        <v>0.26029999999999998</v>
      </c>
      <c r="AP128" s="13">
        <f t="shared" si="196"/>
        <v>36745</v>
      </c>
      <c r="AQ128" s="13">
        <f t="shared" si="197"/>
        <v>12978.334000000001</v>
      </c>
      <c r="AR128" s="97">
        <f t="shared" ref="AR128:AR133" si="205">AR127+AQ128</f>
        <v>24733.551800000001</v>
      </c>
      <c r="AS128" s="114">
        <f>AR127+AM128*(S132-AK128)</f>
        <v>12671.418599999999</v>
      </c>
      <c r="AT128" s="114">
        <f>AR127+AM128*(T132-AK128)</f>
        <v>74407.246599999999</v>
      </c>
      <c r="AU128" s="115">
        <f>AR127+AM128*(U132-AK128)</f>
        <v>11218.269032</v>
      </c>
      <c r="AV128" s="115">
        <f>AR127+AM128*(V132-AK128)</f>
        <v>77318.405767999997</v>
      </c>
      <c r="AW128" s="115">
        <f>AR127+AM128*(W132-AK128)</f>
        <v>13400.423399999998</v>
      </c>
      <c r="AX128" s="43">
        <f>AS127+AM128*(X132-AK128)</f>
        <v>75910.080400000006</v>
      </c>
      <c r="AY128" s="115">
        <f>AR127+AM128*(Y132-AK128)</f>
        <v>75865.256200000003</v>
      </c>
      <c r="AZ128" s="115">
        <f>AR127+AM128*(Z132-AK128)</f>
        <v>-4706.0214000000014</v>
      </c>
      <c r="BA128" s="115">
        <f>AR127+AM128*(AA132-AK128)</f>
        <v>9511.0932600828419</v>
      </c>
      <c r="BB128" s="43">
        <f>AR127+AM128*(AB132-AK128)</f>
        <v>-4706.0214000000014</v>
      </c>
      <c r="BC128" s="43">
        <f>AR127+AM128*(AC132-AK128)</f>
        <v>9421.9785999999986</v>
      </c>
      <c r="BD128" s="43">
        <f>AR127+AM128*(AD132-AK128)</f>
        <v>-4200.0505236318841</v>
      </c>
      <c r="BE128" s="43">
        <f>AR127+AM128*(AE132-AK128)</f>
        <v>9421.9785999999986</v>
      </c>
      <c r="BF128" s="43" t="e">
        <f>AR127+AM128*(AF132-AK128)</f>
        <v>#VALUE!</v>
      </c>
      <c r="BG128" s="43">
        <f>AR127+AM128*(AG132-AK128)</f>
        <v>74407.246599999999</v>
      </c>
      <c r="BH128" s="43">
        <f>AR127+AM128*(AH132-AK128)</f>
        <v>-4706.0214000000014</v>
      </c>
      <c r="BI128" s="43">
        <f>AR127+AM128*(AI132-AK128)</f>
        <v>9421.9785999999986</v>
      </c>
      <c r="BJ128" s="115">
        <f>S126*AO128</f>
        <v>0</v>
      </c>
      <c r="BK128" s="147">
        <f>T126*AO128</f>
        <v>0</v>
      </c>
      <c r="BL128" s="115">
        <f>U126*AO128</f>
        <v>0</v>
      </c>
      <c r="BM128" s="115">
        <f>V126*AO128</f>
        <v>0</v>
      </c>
      <c r="BN128" s="115">
        <f>W126*AO128</f>
        <v>0</v>
      </c>
      <c r="BO128" s="115">
        <f>X126*AO128</f>
        <v>0</v>
      </c>
      <c r="BP128" s="43">
        <f>Y126*AO128</f>
        <v>0</v>
      </c>
      <c r="BQ128" s="43">
        <f>Z126*AO128</f>
        <v>26029.999999999996</v>
      </c>
      <c r="BR128" s="43">
        <f>AA126*AO128</f>
        <v>0</v>
      </c>
      <c r="BS128" s="43">
        <f>AB126*AO128</f>
        <v>26029.999999999996</v>
      </c>
      <c r="BT128" s="43">
        <f>AC126*AO128</f>
        <v>0</v>
      </c>
      <c r="BU128" s="43">
        <f>AD126*AO128</f>
        <v>26029.999999999996</v>
      </c>
      <c r="BV128" s="43">
        <f>AE126*AO128</f>
        <v>0</v>
      </c>
      <c r="BW128" s="43">
        <f>AF126*AO128</f>
        <v>0</v>
      </c>
      <c r="BX128" s="43">
        <f>AG126*AO128</f>
        <v>89543.2</v>
      </c>
      <c r="BY128" s="43" t="e">
        <f>AH126*AO128</f>
        <v>#REF!</v>
      </c>
      <c r="BZ128" s="43" t="e">
        <f>AI126*AO128</f>
        <v>#REF!</v>
      </c>
      <c r="CA128" s="44">
        <f>AN128*S128</f>
        <v>0</v>
      </c>
      <c r="CB128" s="44">
        <f>AN128*T128</f>
        <v>0</v>
      </c>
      <c r="CC128" s="44">
        <f>AN128*U128</f>
        <v>600.86135999999999</v>
      </c>
      <c r="CD128" s="44">
        <f>AN128*V128</f>
        <v>0</v>
      </c>
      <c r="CE128" s="44">
        <f>AN128*W128</f>
        <v>300.43068</v>
      </c>
      <c r="CF128" s="44">
        <f>AN128*X128</f>
        <v>300.43068</v>
      </c>
      <c r="CG128" s="44">
        <f>AN128*Y128</f>
        <v>600.86135999999999</v>
      </c>
      <c r="CH128" s="44">
        <f>AN128*Z128</f>
        <v>0</v>
      </c>
      <c r="CI128" s="44">
        <f>AN128*AA128</f>
        <v>867.05813901588795</v>
      </c>
      <c r="CJ128" s="44">
        <f>AN128*AB128</f>
        <v>0</v>
      </c>
      <c r="CK128" s="44">
        <f>AN128*AC128</f>
        <v>0</v>
      </c>
      <c r="CL128" s="44">
        <f>AN128*AD128</f>
        <v>251.47659874782411</v>
      </c>
      <c r="CM128" s="44">
        <f>AN128*AE128</f>
        <v>0</v>
      </c>
      <c r="CN128" s="44">
        <f>AN128*AF128</f>
        <v>0</v>
      </c>
      <c r="CO128" s="44">
        <f>AN128*AG128</f>
        <v>0</v>
      </c>
      <c r="CP128" s="44">
        <f>AN128*AH128</f>
        <v>0</v>
      </c>
      <c r="CQ128" s="44">
        <f>AN128*AI128</f>
        <v>3.7421116709593426E-3</v>
      </c>
    </row>
    <row r="129" spans="6:116" ht="15.75" hidden="1" x14ac:dyDescent="0.25">
      <c r="F129">
        <v>10</v>
      </c>
      <c r="G129" s="140">
        <f>G128+G128*(G15+G16+G17-Q128-H20)</f>
        <v>395004.36510551395</v>
      </c>
      <c r="H129" s="140">
        <f>G129*G16</f>
        <v>7939.5877386208304</v>
      </c>
      <c r="I129" s="140">
        <f>G129*G17</f>
        <v>4740.0523812661677</v>
      </c>
      <c r="J129" s="140">
        <f>G129*G15</f>
        <v>19750.2182552757</v>
      </c>
      <c r="K129" s="117">
        <f>(G6*G8)/G129</f>
        <v>4.3543822599037656E-2</v>
      </c>
      <c r="L129" s="130">
        <f>(H129+I129-C17+C16)</f>
        <v>236669.64011988699</v>
      </c>
      <c r="M129" s="117">
        <f>IF(M87&lt;100,0,IF(L129&gt;M25,O26,IF(L129&gt;M24,O25,IF(L129&gt;M23,O24,IF(L129&gt;M22,O23,IF(L129&gt;M21,O22,IF(L129&gt;M20,O21,IF(L129&gt;M19,O20,IF(L129&gt;M18,O19,IF(L129&gt;M17,O18,IF(L129&gt;M16,O17,O16)))))))))))</f>
        <v>0.39340000000000003</v>
      </c>
      <c r="N129" s="117">
        <f t="shared" si="185"/>
        <v>7.9073400000000005E-3</v>
      </c>
      <c r="O129" s="117">
        <f>(IF(L129&gt;M25,N26,IF(L129&gt;M24,N25,IF(L129&gt;M23,N24,IF(L129&gt;M22,N23,IF(L129&gt;M21,N22,IF(L129&gt;M20,N21,IF(L129&gt;M19,N20,IF(L129&gt;M18,N19,IF(L129&gt;M17,N18,IF(L129&gt;M16,N17,N16))))))))))*I129)/G129</f>
        <v>6.4235999999999998E-3</v>
      </c>
      <c r="P129" s="117">
        <f t="shared" si="187"/>
        <v>1.433094E-2</v>
      </c>
      <c r="Q129" s="261">
        <f t="shared" si="188"/>
        <v>5.7874762599037656E-2</v>
      </c>
      <c r="R129" s="3" t="s">
        <v>39</v>
      </c>
      <c r="S129" s="97">
        <f t="shared" ref="S129:Z129" si="206">S128*1.38</f>
        <v>0</v>
      </c>
      <c r="T129" s="97">
        <f t="shared" si="206"/>
        <v>0</v>
      </c>
      <c r="U129" s="97">
        <f t="shared" si="206"/>
        <v>9541.8719999999994</v>
      </c>
      <c r="V129" s="97">
        <f t="shared" si="206"/>
        <v>0</v>
      </c>
      <c r="W129" s="97">
        <f t="shared" si="206"/>
        <v>4770.9359999999997</v>
      </c>
      <c r="X129" s="97">
        <f t="shared" si="206"/>
        <v>4770.9359999999997</v>
      </c>
      <c r="Y129" s="97">
        <f t="shared" si="206"/>
        <v>9541.8719999999994</v>
      </c>
      <c r="Z129" s="97">
        <f t="shared" si="206"/>
        <v>0</v>
      </c>
      <c r="AA129" s="97">
        <f t="shared" ref="AA129:AH129" si="207">AA128*1.38</f>
        <v>13769.162621886366</v>
      </c>
      <c r="AB129" s="97">
        <f t="shared" si="207"/>
        <v>0</v>
      </c>
      <c r="AC129" s="97">
        <f t="shared" si="207"/>
        <v>0</v>
      </c>
      <c r="AD129" s="97">
        <f t="shared" si="207"/>
        <v>3993.5294162485297</v>
      </c>
      <c r="AE129" s="97">
        <f t="shared" si="207"/>
        <v>0</v>
      </c>
      <c r="AF129" s="97">
        <f t="shared" si="207"/>
        <v>0</v>
      </c>
      <c r="AG129" s="97">
        <f t="shared" si="207"/>
        <v>0</v>
      </c>
      <c r="AH129" s="97">
        <f t="shared" si="207"/>
        <v>0</v>
      </c>
      <c r="AI129" s="97">
        <f t="shared" ref="AI129" si="208">AI128*1.38</f>
        <v>5.9425939078525801E-2</v>
      </c>
      <c r="AK129" s="118">
        <f t="shared" si="204"/>
        <v>83352</v>
      </c>
      <c r="AL129" s="119">
        <v>93208</v>
      </c>
      <c r="AM129" s="120">
        <v>0.37019999999999997</v>
      </c>
      <c r="AN129" s="122">
        <v>0.1104</v>
      </c>
      <c r="AO129" s="122">
        <v>0.28000000000000003</v>
      </c>
      <c r="AP129" s="13">
        <f t="shared" si="196"/>
        <v>9856</v>
      </c>
      <c r="AQ129" s="13">
        <f t="shared" si="197"/>
        <v>3648.6911999999998</v>
      </c>
      <c r="AR129" s="97">
        <f t="shared" si="205"/>
        <v>28382.243000000002</v>
      </c>
      <c r="AS129" s="114">
        <f>AR128+AM129*(S132-AK129)</f>
        <v>12090.481400000002</v>
      </c>
      <c r="AT129" s="114">
        <f>AR128+AM129*(T132-AK129)</f>
        <v>76797.739399999991</v>
      </c>
      <c r="AU129" s="115">
        <f>AR128+AM129*(U132-AK129)</f>
        <v>10567.389752000003</v>
      </c>
      <c r="AV129" s="115">
        <f>AR128+AM129*(V132-AK129)</f>
        <v>79849.01664799999</v>
      </c>
      <c r="AW129" s="115">
        <f>AR128+AM129*(W132-AK129)</f>
        <v>12854.574200000003</v>
      </c>
      <c r="AX129" s="43">
        <f>AR128+AM129*(X132-AK129)</f>
        <v>77561.832200000004</v>
      </c>
      <c r="AY129" s="115">
        <f>AR128+AM129*(Y132-AK129)</f>
        <v>78325.924999999988</v>
      </c>
      <c r="AZ129" s="115">
        <f>AR128+AM129*(Z132-AK129)</f>
        <v>-6123.3585999999959</v>
      </c>
      <c r="BA129" s="115">
        <f>AR128+AM129*(AA132-AK129)</f>
        <v>8778.0452707889854</v>
      </c>
      <c r="BB129" s="43">
        <f>AR128+AM129*(AB132-AK129)</f>
        <v>-6123.3585999999959</v>
      </c>
      <c r="BC129" s="43">
        <f>AR128+AM129*(AC132-AK129)</f>
        <v>8684.6414000000022</v>
      </c>
      <c r="BD129" s="43">
        <f>AR128+AM129*(AD132-AK129)</f>
        <v>-5593.0346520060084</v>
      </c>
      <c r="BE129" s="43">
        <f>AR128+AM129*(AE132-AK129)</f>
        <v>8684.6414000000022</v>
      </c>
      <c r="BF129" s="43" t="e">
        <f>AR128+AM129*(AF132-AK129)</f>
        <v>#VALUE!</v>
      </c>
      <c r="BG129" s="43">
        <f>AR128+AM129*(AG132-AK129)</f>
        <v>76797.739399999991</v>
      </c>
      <c r="BH129" s="43">
        <f>AR128+AM129*(AH132-AK129)</f>
        <v>-6123.3585999999959</v>
      </c>
      <c r="BI129" s="43">
        <f>AR128+AM129*(AI132-AK129)</f>
        <v>8684.6414000000022</v>
      </c>
      <c r="BJ129" s="115">
        <f>S126*AO129</f>
        <v>0</v>
      </c>
      <c r="BK129" s="147">
        <f>T126*AO129</f>
        <v>0</v>
      </c>
      <c r="BL129" s="115">
        <f>U126*AO129</f>
        <v>0</v>
      </c>
      <c r="BM129" s="115">
        <f>V126*AO129</f>
        <v>0</v>
      </c>
      <c r="BN129" s="115">
        <f>W126*AO129</f>
        <v>0</v>
      </c>
      <c r="BO129" s="115">
        <f>X126*AP129</f>
        <v>0</v>
      </c>
      <c r="BP129" s="43">
        <f>Y126*AO129</f>
        <v>0</v>
      </c>
      <c r="BQ129" s="43">
        <f>Z126*AO129</f>
        <v>28000.000000000004</v>
      </c>
      <c r="BR129" s="43">
        <f>AA126*AO129</f>
        <v>0</v>
      </c>
      <c r="BS129" s="43">
        <f>AB126*AO129</f>
        <v>28000.000000000004</v>
      </c>
      <c r="BT129" s="43">
        <f>AC126*AO129</f>
        <v>0</v>
      </c>
      <c r="BU129" s="43">
        <f>AD126*AO129</f>
        <v>28000.000000000004</v>
      </c>
      <c r="BV129" s="43">
        <f>AE126*AO129</f>
        <v>0</v>
      </c>
      <c r="BW129" s="43">
        <f>AF126*AO129</f>
        <v>0</v>
      </c>
      <c r="BX129" s="43">
        <f>AG126*AO129</f>
        <v>96320.000000000015</v>
      </c>
      <c r="BY129" s="43" t="e">
        <f>AH126*AO129</f>
        <v>#REF!</v>
      </c>
      <c r="BZ129" s="43" t="e">
        <f>AI126*AO129</f>
        <v>#REF!</v>
      </c>
      <c r="CA129" s="44">
        <f>AN129*S128</f>
        <v>0</v>
      </c>
      <c r="CB129" s="44">
        <f>AN129*T128</f>
        <v>0</v>
      </c>
      <c r="CC129" s="44">
        <f>AN129*U128</f>
        <v>763.34975999999995</v>
      </c>
      <c r="CD129" s="44">
        <f>AN129*V128</f>
        <v>0</v>
      </c>
      <c r="CE129" s="44">
        <f>AN129*W128</f>
        <v>381.67487999999997</v>
      </c>
      <c r="CF129" s="44">
        <f>AN129*X128</f>
        <v>381.67487999999997</v>
      </c>
      <c r="CG129" s="44">
        <f>AN129*Y128</f>
        <v>763.34975999999995</v>
      </c>
      <c r="CH129" s="44">
        <f>AN129*Z128</f>
        <v>0</v>
      </c>
      <c r="CI129" s="44">
        <f>AN129*AA128</f>
        <v>1101.5330097509093</v>
      </c>
      <c r="CJ129" s="44">
        <f>AN129*AB128</f>
        <v>0</v>
      </c>
      <c r="CK129" s="44">
        <f>AN129*AC128</f>
        <v>0</v>
      </c>
      <c r="CL129" s="44">
        <f>AN129*AD128</f>
        <v>319.48235329988239</v>
      </c>
      <c r="CM129" s="44">
        <f>AN129*AE128</f>
        <v>0</v>
      </c>
      <c r="CN129" s="44">
        <f>AN129*AF128</f>
        <v>0</v>
      </c>
      <c r="CO129" s="44">
        <f>AN129*AG128</f>
        <v>0</v>
      </c>
      <c r="CP129" s="44">
        <f>AN129*AH128</f>
        <v>0</v>
      </c>
      <c r="CQ129" s="44">
        <f>AN129*AI128</f>
        <v>4.7540751262820646E-3</v>
      </c>
    </row>
    <row r="130" spans="6:116" ht="15.75" hidden="1" x14ac:dyDescent="0.25">
      <c r="F130">
        <v>11</v>
      </c>
      <c r="G130" s="140">
        <f>G129+G129*(G15+G16+G17-Q129-H20)</f>
        <v>396673.35232250113</v>
      </c>
      <c r="H130" s="140">
        <f>G130*G16</f>
        <v>7973.1343816822728</v>
      </c>
      <c r="I130" s="140">
        <f>G130*G17</f>
        <v>4760.0802278700139</v>
      </c>
      <c r="J130" s="140">
        <f>G130*G15</f>
        <v>19833.667616125058</v>
      </c>
      <c r="K130" s="117">
        <f>(G6*G9)/G130</f>
        <v>5.2032736454702369E-2</v>
      </c>
      <c r="L130" s="130">
        <f>(H130+I130-C17+C16)</f>
        <v>236723.21460955229</v>
      </c>
      <c r="M130" s="117">
        <f>IF(M87&lt;100,0,IF(L130&gt;M25,O26,IF(L130&gt;M24,O25,IF(L130&gt;M23,O24,IF(L130&gt;M22,O23,IF(L130&gt;M21,O22,IF(L130&gt;M20,O21,IF(L130&gt;M19,O20,IF(L130&gt;M18,O19,IF(L130&gt;M17,O18,IF(L130&gt;M16,O17,O16)))))))))))</f>
        <v>0.39340000000000003</v>
      </c>
      <c r="N130" s="117">
        <f t="shared" si="185"/>
        <v>7.9073400000000005E-3</v>
      </c>
      <c r="O130" s="117">
        <f>(IF(L130&gt;M25,N26,IF(L130&gt;M24,N25,IF(L130&gt;M23,N24,IF(L130&gt;M22,N23,IF(L130&gt;M21,N22,IF(L130&gt;M20,N21,IF(L130&gt;M19,N20,IF(L130&gt;M18,N19,IF(L130&gt;M17,N18,IF(L130&gt;M16,N17,N16))))))))))*I130)/G130</f>
        <v>6.4236000000000007E-3</v>
      </c>
      <c r="P130" s="117">
        <f t="shared" si="187"/>
        <v>1.433094E-2</v>
      </c>
      <c r="Q130" s="261">
        <f t="shared" si="188"/>
        <v>6.6363676454702369E-2</v>
      </c>
      <c r="R130" s="3" t="s">
        <v>40</v>
      </c>
      <c r="S130" s="97">
        <f t="shared" ref="S130:Z131" si="209">S113</f>
        <v>0</v>
      </c>
      <c r="T130" s="97">
        <f t="shared" si="209"/>
        <v>0</v>
      </c>
      <c r="U130" s="97">
        <f t="shared" si="209"/>
        <v>0</v>
      </c>
      <c r="V130" s="97">
        <f t="shared" si="209"/>
        <v>0</v>
      </c>
      <c r="W130" s="97">
        <f t="shared" si="209"/>
        <v>0</v>
      </c>
      <c r="X130" s="97">
        <f t="shared" si="209"/>
        <v>0</v>
      </c>
      <c r="Y130" s="97">
        <f t="shared" si="209"/>
        <v>0</v>
      </c>
      <c r="Z130" s="97">
        <f t="shared" si="209"/>
        <v>0</v>
      </c>
      <c r="AA130" s="97">
        <f t="shared" ref="AA130:AH131" si="210">AA113</f>
        <v>504.6130242516665</v>
      </c>
      <c r="AB130" s="97">
        <f t="shared" si="210"/>
        <v>0</v>
      </c>
      <c r="AC130" s="97">
        <f t="shared" si="210"/>
        <v>0</v>
      </c>
      <c r="AD130" s="97">
        <f t="shared" si="210"/>
        <v>2865.0672501025942</v>
      </c>
      <c r="AE130" s="97">
        <f t="shared" si="210"/>
        <v>0</v>
      </c>
      <c r="AF130" s="97" t="str">
        <f t="shared" si="210"/>
        <v>Total Drag</v>
      </c>
      <c r="AG130" s="97">
        <f t="shared" si="210"/>
        <v>0</v>
      </c>
      <c r="AH130" s="97">
        <f t="shared" si="210"/>
        <v>0</v>
      </c>
      <c r="AI130" s="97">
        <f t="shared" ref="AI130" si="211">AI113</f>
        <v>0</v>
      </c>
      <c r="AK130" s="67">
        <f t="shared" si="204"/>
        <v>93209</v>
      </c>
      <c r="AL130" s="123">
        <v>135510</v>
      </c>
      <c r="AM130" s="111">
        <v>0.42520000000000002</v>
      </c>
      <c r="AN130" s="113">
        <v>0.18629999999999999</v>
      </c>
      <c r="AO130" s="113">
        <v>0.34379999999999999</v>
      </c>
      <c r="AP130" s="13">
        <f t="shared" si="196"/>
        <v>42301</v>
      </c>
      <c r="AQ130" s="13">
        <f t="shared" si="197"/>
        <v>17986.385200000001</v>
      </c>
      <c r="AR130" s="97">
        <f t="shared" si="205"/>
        <v>46368.628200000006</v>
      </c>
      <c r="AS130" s="114">
        <f>AR129+AM130*(S132-AK130)</f>
        <v>9669.6162000000004</v>
      </c>
      <c r="AT130" s="114">
        <f>AR129+AM130*(T132-AK130)</f>
        <v>83990.324200000003</v>
      </c>
      <c r="AU130" s="115">
        <f>AR129+AM130*(U132-AK130)</f>
        <v>7920.2413520000009</v>
      </c>
      <c r="AV130" s="115">
        <f>AR129+AM130*(V132-AK130)</f>
        <v>87494.924648</v>
      </c>
      <c r="AW130" s="115">
        <f>AR129+AM130*(W132-AK130)</f>
        <v>10547.229000000003</v>
      </c>
      <c r="AX130" s="43">
        <f>AR129+AM130*(X132-AK130)</f>
        <v>84867.937000000005</v>
      </c>
      <c r="AY130" s="115">
        <f>AR129+AM130*(Y132-AK130)</f>
        <v>85745.549800000008</v>
      </c>
      <c r="AZ130" s="115">
        <f>AR129+AM130*(Z132-AK130)</f>
        <v>-11250.2238</v>
      </c>
      <c r="BA130" s="115">
        <f>AR129+AM130*(AA132-AK130)</f>
        <v>5865.0569289559062</v>
      </c>
      <c r="BB130" s="43">
        <f>AR129+AM130*(AB132-AK130)</f>
        <v>-11250.2238</v>
      </c>
      <c r="BC130" s="43">
        <f>AR129+AM130*(AC132-AK130)</f>
        <v>5757.7762000000002</v>
      </c>
      <c r="BD130" s="43">
        <f>AR129+AM130*(AD132-AK130)</f>
        <v>-10641.110502628188</v>
      </c>
      <c r="BE130" s="43">
        <f>AR129+AM130*(AE132-AK130)</f>
        <v>5757.7762000000002</v>
      </c>
      <c r="BF130" s="43" t="e">
        <f>AR129+AM130*(AF132-AK130)</f>
        <v>#VALUE!</v>
      </c>
      <c r="BG130" s="43">
        <f>AR129+AM130*(AG132-AK130)</f>
        <v>83990.324200000003</v>
      </c>
      <c r="BH130" s="43">
        <f>AR129+AM130*(AH132-AK130)</f>
        <v>-11250.2238</v>
      </c>
      <c r="BI130" s="43">
        <f>AR129+AM130*(AI132-AK130)</f>
        <v>5757.7762000000002</v>
      </c>
      <c r="BJ130" s="115">
        <f>S126*AO130</f>
        <v>0</v>
      </c>
      <c r="BK130" s="115">
        <f>T126*AO130</f>
        <v>0</v>
      </c>
      <c r="BL130" s="115">
        <f>U126*AO130</f>
        <v>0</v>
      </c>
      <c r="BM130" s="115">
        <f>V126*AO130</f>
        <v>0</v>
      </c>
      <c r="BN130" s="115">
        <f>W126*AO130</f>
        <v>0</v>
      </c>
      <c r="BO130" s="115">
        <f>X126*AO130</f>
        <v>0</v>
      </c>
      <c r="BP130" s="43">
        <f>Y126*AO130</f>
        <v>0</v>
      </c>
      <c r="BQ130" s="43">
        <f>Z126*AO130</f>
        <v>34380</v>
      </c>
      <c r="BR130" s="43">
        <f>AA126*AO130</f>
        <v>0</v>
      </c>
      <c r="BS130" s="43">
        <f>AB126*AO130</f>
        <v>34380</v>
      </c>
      <c r="BT130" s="43">
        <f>AC126*AO130</f>
        <v>0</v>
      </c>
      <c r="BU130" s="43">
        <f>AD126*AO130</f>
        <v>34380</v>
      </c>
      <c r="BV130" s="43">
        <f>AE126*AO130</f>
        <v>0</v>
      </c>
      <c r="BW130" s="43">
        <f>AF126*AO130</f>
        <v>0</v>
      </c>
      <c r="BX130" s="43">
        <f>AG126*AO130</f>
        <v>118267.2</v>
      </c>
      <c r="BY130" s="43" t="e">
        <f>AH126*AO130</f>
        <v>#REF!</v>
      </c>
      <c r="BZ130" s="43" t="e">
        <f>AI126*AO130</f>
        <v>#REF!</v>
      </c>
      <c r="CA130" s="44">
        <f>AN130*S128</f>
        <v>0</v>
      </c>
      <c r="CB130" s="44">
        <f>AN130*T128</f>
        <v>0</v>
      </c>
      <c r="CC130" s="44">
        <f>AN130*U128</f>
        <v>1288.1527199999998</v>
      </c>
      <c r="CD130" s="44">
        <f>AN130*V128</f>
        <v>0</v>
      </c>
      <c r="CE130" s="44">
        <f>AN130*W128</f>
        <v>644.07635999999991</v>
      </c>
      <c r="CF130" s="44">
        <f>AN130*X128</f>
        <v>644.07635999999991</v>
      </c>
      <c r="CG130" s="44">
        <f>AN130*Y128</f>
        <v>1288.1527199999998</v>
      </c>
      <c r="CH130" s="44">
        <f>AN130*Z128</f>
        <v>0</v>
      </c>
      <c r="CI130" s="44">
        <f>AN130*AA128</f>
        <v>1858.8369539546595</v>
      </c>
      <c r="CJ130" s="44">
        <f>AN130*AB128</f>
        <v>0</v>
      </c>
      <c r="CK130" s="44">
        <f>AN130*AC128</f>
        <v>0</v>
      </c>
      <c r="CL130" s="44">
        <f>AN130*AD128</f>
        <v>539.12647119355154</v>
      </c>
      <c r="CM130" s="44">
        <f>AN130*AE128</f>
        <v>0</v>
      </c>
      <c r="CN130" s="44">
        <f>AN130*AF128</f>
        <v>0</v>
      </c>
      <c r="CO130" s="44">
        <f>AN130*AG128</f>
        <v>0</v>
      </c>
      <c r="CP130" s="44">
        <f>AN130*AH128</f>
        <v>0</v>
      </c>
      <c r="CQ130" s="44">
        <f>AN130*AI128</f>
        <v>8.0225017756009841E-3</v>
      </c>
    </row>
    <row r="131" spans="6:116" ht="15.75" hidden="1" x14ac:dyDescent="0.25">
      <c r="F131">
        <v>12</v>
      </c>
      <c r="G131" s="140">
        <f>G130+G130*(G15+G16+G17-Q130-H20)</f>
        <v>394982.06548999582</v>
      </c>
      <c r="H131" s="140">
        <f>G131*G16</f>
        <v>7939.139516348916</v>
      </c>
      <c r="I131" s="140">
        <f>G131*G17</f>
        <v>4739.7847858799496</v>
      </c>
      <c r="J131" s="140">
        <f>G131*G15</f>
        <v>19749.103274499794</v>
      </c>
      <c r="K131" s="117">
        <f>(G6*G9)/G131</f>
        <v>5.225553715811123E-2</v>
      </c>
      <c r="L131" s="130">
        <f>(H131+I131-C17+C16)</f>
        <v>236668.92430222887</v>
      </c>
      <c r="M131" s="117">
        <f>IF(M87&lt;100,0,IF(L131&gt;M25,O26,IF(L131&gt;M24,O25,IF(L131&gt;M23,O24,IF(L131&gt;M22,O23,IF(L131&gt;M21,O22,IF(L131&gt;M20,O21,IF(L131&gt;M19,O20,IF(L131&gt;M18,O19,IF(L131&gt;M17,O18,IF(L131&gt;M16,O17,O16)))))))))))</f>
        <v>0.39340000000000003</v>
      </c>
      <c r="N131" s="117">
        <f t="shared" si="185"/>
        <v>7.9073400000000005E-3</v>
      </c>
      <c r="O131" s="117">
        <f>(IF(L131&gt;M25,N26,IF(L131&gt;M24,N25,IF(L131&gt;M23,N24,IF(L131&gt;M22,N23,IF(L131&gt;M21,N22,IF(L131&gt;M20,N21,IF(L131&gt;M19,N20,IF(L131&gt;M18,N19,IF(L131&gt;M17,N18,IF(L131&gt;M16,N17,N16))))))))))*I131)/G131</f>
        <v>6.4235999999999998E-3</v>
      </c>
      <c r="P131" s="117">
        <f t="shared" si="187"/>
        <v>1.433094E-2</v>
      </c>
      <c r="Q131" s="261">
        <f t="shared" si="188"/>
        <v>6.6586477158111224E-2</v>
      </c>
      <c r="R131" s="3" t="s">
        <v>41</v>
      </c>
      <c r="S131" s="97">
        <f t="shared" si="209"/>
        <v>0</v>
      </c>
      <c r="T131" s="97">
        <f t="shared" si="209"/>
        <v>0</v>
      </c>
      <c r="U131" s="97">
        <f t="shared" si="209"/>
        <v>0</v>
      </c>
      <c r="V131" s="97">
        <f t="shared" si="209"/>
        <v>0</v>
      </c>
      <c r="W131" s="97">
        <f t="shared" si="209"/>
        <v>0</v>
      </c>
      <c r="X131" s="97">
        <f t="shared" si="209"/>
        <v>0</v>
      </c>
      <c r="Y131" s="97">
        <f t="shared" si="209"/>
        <v>0</v>
      </c>
      <c r="Z131" s="97">
        <f t="shared" si="209"/>
        <v>0</v>
      </c>
      <c r="AA131" s="97">
        <f t="shared" si="210"/>
        <v>252.30651212583325</v>
      </c>
      <c r="AB131" s="97">
        <f t="shared" si="210"/>
        <v>0</v>
      </c>
      <c r="AC131" s="97">
        <f t="shared" si="210"/>
        <v>0</v>
      </c>
      <c r="AD131" s="97">
        <f t="shared" si="210"/>
        <v>1432.5336250512971</v>
      </c>
      <c r="AE131" s="97">
        <f t="shared" si="210"/>
        <v>0</v>
      </c>
      <c r="AF131" s="97" t="e">
        <f t="shared" si="210"/>
        <v>#VALUE!</v>
      </c>
      <c r="AG131" s="97">
        <f t="shared" si="210"/>
        <v>0</v>
      </c>
      <c r="AH131" s="97">
        <f t="shared" si="210"/>
        <v>0</v>
      </c>
      <c r="AI131" s="97">
        <f t="shared" ref="AI131" si="212">AI114</f>
        <v>0</v>
      </c>
      <c r="AJ131" s="16" t="s">
        <v>67</v>
      </c>
      <c r="AK131" s="118">
        <f t="shared" si="204"/>
        <v>135511</v>
      </c>
      <c r="AL131" s="119">
        <v>144489</v>
      </c>
      <c r="AM131" s="120">
        <v>0.43840000000000001</v>
      </c>
      <c r="AN131" s="122">
        <v>0.20449999999999999</v>
      </c>
      <c r="AO131" s="122">
        <v>0.35909999999999997</v>
      </c>
      <c r="AP131" s="13">
        <f t="shared" si="196"/>
        <v>8978</v>
      </c>
      <c r="AQ131" s="13">
        <f t="shared" si="197"/>
        <v>3935.9552000000003</v>
      </c>
      <c r="AR131" s="97">
        <f t="shared" si="205"/>
        <v>50304.583400000003</v>
      </c>
      <c r="AS131" s="114">
        <f>AR130+AM131*(S132-AK131)</f>
        <v>8529.8858000000037</v>
      </c>
      <c r="AT131" s="114">
        <f>AR130+AM131*(T132-AK131)</f>
        <v>85157.821800000005</v>
      </c>
      <c r="AU131" s="115">
        <f>AR130+AM131*(U132-AK131)</f>
        <v>6726.2029840000105</v>
      </c>
      <c r="AV131" s="115">
        <f>AR130+AM131*(V132-AK131)</f>
        <v>88771.219815999997</v>
      </c>
      <c r="AW131" s="115">
        <f>AR130+AM131*(W132-AK131)</f>
        <v>9434.7434000000067</v>
      </c>
      <c r="AX131" s="43">
        <f>AR130+AM131*(X132-AK131)</f>
        <v>86062.679400000008</v>
      </c>
      <c r="AY131" s="115">
        <f>AR130+AM131*(Y132-AK131)</f>
        <v>86967.537000000011</v>
      </c>
      <c r="AZ131" s="115">
        <f>AR130+AM131*(Z132-AK131)</f>
        <v>-13039.394199999995</v>
      </c>
      <c r="BA131" s="115">
        <f>AR130+AM131*(AA132-AK131)</f>
        <v>4607.2169749159657</v>
      </c>
      <c r="BB131" s="43">
        <f>AR130+AM131*(AB132-AK131)</f>
        <v>-13039.394199999995</v>
      </c>
      <c r="BC131" s="43">
        <f>AR130+AM131*(AC132-AK131)</f>
        <v>4496.6058000000048</v>
      </c>
      <c r="BD131" s="43">
        <f>AR130+AM131*(AD132-AK131)</f>
        <v>-12411.37145877751</v>
      </c>
      <c r="BE131" s="43">
        <f>AR130+AM131*(AE132-AK131)</f>
        <v>4496.6058000000048</v>
      </c>
      <c r="BF131" s="43" t="e">
        <f>AR130+AM131*(AF132-AK131)</f>
        <v>#VALUE!</v>
      </c>
      <c r="BG131" s="43">
        <f>AR130+AM131*(AG132-AK131)</f>
        <v>85157.821800000005</v>
      </c>
      <c r="BH131" s="43">
        <f>AR130+AM131*(AH132-AK131)</f>
        <v>-13039.394199999995</v>
      </c>
      <c r="BI131" s="43">
        <f>AR130+AM131*(AI132-AK131)</f>
        <v>4496.6058000000048</v>
      </c>
      <c r="BJ131" s="115">
        <f>S126*AO131</f>
        <v>0</v>
      </c>
      <c r="BK131" s="147">
        <f>T126*AO131</f>
        <v>0</v>
      </c>
      <c r="BL131" s="115">
        <f>U126*AO131</f>
        <v>0</v>
      </c>
      <c r="BM131" s="115">
        <f>V126*AO131</f>
        <v>0</v>
      </c>
      <c r="BN131" s="115">
        <f>W126*AO131</f>
        <v>0</v>
      </c>
      <c r="BO131" s="115">
        <f>X126*AO131</f>
        <v>0</v>
      </c>
      <c r="BP131" s="43">
        <f>Y126*AO131</f>
        <v>0</v>
      </c>
      <c r="BQ131" s="43">
        <f>Z126*AO131</f>
        <v>35910</v>
      </c>
      <c r="BR131" s="43">
        <f>AA126*AO131</f>
        <v>0</v>
      </c>
      <c r="BS131" s="43">
        <f>AB126*AO131</f>
        <v>35910</v>
      </c>
      <c r="BT131" s="43">
        <f>AC126*AO131</f>
        <v>0</v>
      </c>
      <c r="BU131" s="43">
        <f>AD126*AO131</f>
        <v>35910</v>
      </c>
      <c r="BV131" s="43">
        <f>AE126*AO131</f>
        <v>0</v>
      </c>
      <c r="BW131" s="43">
        <f>AF126*AO131</f>
        <v>0</v>
      </c>
      <c r="BX131" s="43">
        <f>AG126*AO131</f>
        <v>123530.4</v>
      </c>
      <c r="BY131" s="43" t="e">
        <f>AH126*AO131</f>
        <v>#REF!</v>
      </c>
      <c r="BZ131" s="43" t="e">
        <f>AI126*AO131</f>
        <v>#REF!</v>
      </c>
      <c r="CA131" s="44">
        <f>AN131*S128</f>
        <v>0</v>
      </c>
      <c r="CB131" s="44">
        <f>AN131*T128</f>
        <v>0</v>
      </c>
      <c r="CC131" s="44">
        <f>AN131*U128</f>
        <v>1413.9947999999999</v>
      </c>
      <c r="CD131" s="44">
        <f>AN131*V128</f>
        <v>0</v>
      </c>
      <c r="CE131" s="44">
        <f>AN131*W128</f>
        <v>706.99739999999997</v>
      </c>
      <c r="CF131" s="44">
        <f>AN131*X128</f>
        <v>706.99739999999997</v>
      </c>
      <c r="CG131" s="44">
        <f>AN131*Y128</f>
        <v>1413.9947999999999</v>
      </c>
      <c r="CH131" s="44">
        <f>AN131*Z128</f>
        <v>0</v>
      </c>
      <c r="CI131" s="44">
        <f>AN131*AA128</f>
        <v>2040.4302580983783</v>
      </c>
      <c r="CJ131" s="44">
        <f>AN131*AB128</f>
        <v>0</v>
      </c>
      <c r="CK131" s="44">
        <f>AN131*AC128</f>
        <v>0</v>
      </c>
      <c r="CL131" s="44">
        <f>AN131*AD128</f>
        <v>591.79475769769886</v>
      </c>
      <c r="CM131" s="44">
        <f>AN131*AE128</f>
        <v>0</v>
      </c>
      <c r="CN131" s="44">
        <f>AN131*AF128</f>
        <v>0</v>
      </c>
      <c r="CO131" s="44">
        <f>AN131*AG128</f>
        <v>0</v>
      </c>
      <c r="CP131" s="44">
        <f>AN131*AH128</f>
        <v>0</v>
      </c>
      <c r="CQ131" s="44">
        <f>AN131*AI128</f>
        <v>8.8062351750424102E-3</v>
      </c>
    </row>
    <row r="132" spans="6:116" ht="15.75" hidden="1" x14ac:dyDescent="0.25">
      <c r="F132">
        <v>13</v>
      </c>
      <c r="G132" s="140">
        <f>G131+G131*(G15+G16+G17-Q131-H20)</f>
        <v>393209.98747531138</v>
      </c>
      <c r="H132" s="140">
        <f>G132*G16</f>
        <v>7903.5207482537589</v>
      </c>
      <c r="I132" s="140">
        <f>G132*G17</f>
        <v>4718.5198497037363</v>
      </c>
      <c r="J132" s="140">
        <f>G132*G15</f>
        <v>19660.499373765571</v>
      </c>
      <c r="K132" s="117">
        <f>(G6*G9)/G132</f>
        <v>5.2491036996602056E-2</v>
      </c>
      <c r="L132" s="130">
        <f>(H132+I132-C17+C16)</f>
        <v>236612.0405979575</v>
      </c>
      <c r="M132" s="117">
        <f>IF(M87&lt;100,0,IF(L132&gt;M25,O26,IF(L132&gt;M24,O25,IF(L132&gt;M23,O24,IF(L132&gt;M22,O23,IF(L132&gt;M21,O22,IF(L132&gt;M20,O21,IF(L132&gt;M19,O20,IF(L132&gt;M18,O19,IF(L132&gt;M17,O18,IF(L132&gt;M16,O17,O16)))))))))))</f>
        <v>0.39340000000000003</v>
      </c>
      <c r="N132" s="117">
        <f t="shared" si="185"/>
        <v>7.9073400000000005E-3</v>
      </c>
      <c r="O132" s="117">
        <f>(IF(L132&gt;M25,N26,IF(L132&gt;M24,N25,IF(L132&gt;M23,N24,IF(L132&gt;M22,N23,IF(L132&gt;M21,N22,IF(L132&gt;M20,N21,IF(L132&gt;M19,N20,IF(L132&gt;M18,N19,IF(L132&gt;M17,N18,IF(L132&gt;M16,N17,N16))))))))))*I132)/G132</f>
        <v>6.4235999999999998E-3</v>
      </c>
      <c r="P132" s="117">
        <f t="shared" si="187"/>
        <v>1.433094E-2</v>
      </c>
      <c r="Q132" s="261">
        <f t="shared" si="188"/>
        <v>6.6821976996602056E-2</v>
      </c>
      <c r="R132" s="14" t="s">
        <v>43</v>
      </c>
      <c r="S132" s="130">
        <f t="shared" ref="S132:Z132" si="213">S123-S124+S131</f>
        <v>49200</v>
      </c>
      <c r="T132" s="130">
        <f t="shared" si="213"/>
        <v>223990</v>
      </c>
      <c r="U132" s="130">
        <f t="shared" si="213"/>
        <v>45085.760000000002</v>
      </c>
      <c r="V132" s="130">
        <f t="shared" si="213"/>
        <v>232232.24</v>
      </c>
      <c r="W132" s="130">
        <f t="shared" si="213"/>
        <v>51264</v>
      </c>
      <c r="X132" s="130">
        <f t="shared" si="213"/>
        <v>226054</v>
      </c>
      <c r="Y132" s="130">
        <f t="shared" si="213"/>
        <v>228118</v>
      </c>
      <c r="Z132" s="130">
        <f t="shared" si="213"/>
        <v>0</v>
      </c>
      <c r="AA132" s="130">
        <f t="shared" ref="AA132:AH132" si="214">AA123-AA124+AA131</f>
        <v>40252.306512125833</v>
      </c>
      <c r="AB132" s="130">
        <f t="shared" si="214"/>
        <v>0</v>
      </c>
      <c r="AC132" s="130">
        <f t="shared" si="214"/>
        <v>40000</v>
      </c>
      <c r="AD132" s="130">
        <f t="shared" si="214"/>
        <v>1432.5336250512971</v>
      </c>
      <c r="AE132" s="130">
        <f t="shared" si="214"/>
        <v>40000</v>
      </c>
      <c r="AF132" s="130" t="e">
        <f t="shared" si="214"/>
        <v>#VALUE!</v>
      </c>
      <c r="AG132" s="130">
        <f t="shared" si="214"/>
        <v>223990</v>
      </c>
      <c r="AH132" s="130">
        <f t="shared" si="214"/>
        <v>0</v>
      </c>
      <c r="AI132" s="130">
        <f t="shared" ref="AI132" si="215">AI123-AI124+AI131</f>
        <v>40000</v>
      </c>
      <c r="AJ132">
        <f>IF(S132&lt;AL126,AM126,IF(S132&lt;AL127,AM127,IF(S132&lt;AL128,AM128,IF(S132&lt;AL129,AM129,IF(S132&lt;AL130,AM130,IF(S132&lt;AL131,AM131,IF(S132&lt;AL132,AM132,IF(S132&lt;AL133,AM133,AM134))))))))</f>
        <v>0.35320000000000001</v>
      </c>
      <c r="AK132" s="67">
        <f t="shared" si="204"/>
        <v>144490</v>
      </c>
      <c r="AL132" s="123">
        <v>154382</v>
      </c>
      <c r="AM132" s="111">
        <v>0.46839999999999998</v>
      </c>
      <c r="AN132" s="113">
        <v>0.24590000000000001</v>
      </c>
      <c r="AO132" s="113">
        <v>0.39389999999999997</v>
      </c>
      <c r="AP132" s="13">
        <f t="shared" si="196"/>
        <v>9892</v>
      </c>
      <c r="AQ132" s="13">
        <f t="shared" si="197"/>
        <v>4633.4128000000001</v>
      </c>
      <c r="AR132" s="97">
        <f t="shared" si="205"/>
        <v>54937.996200000001</v>
      </c>
      <c r="AS132" s="114">
        <f>AR131+AM132*(S132-AK132)</f>
        <v>5670.7474000000075</v>
      </c>
      <c r="AT132" s="114">
        <f>AR131+AM132*(T132-AK132)</f>
        <v>87542.383399999992</v>
      </c>
      <c r="AU132" s="115">
        <f>AR131+AM132*(U132-AK132)</f>
        <v>3743.6373840000088</v>
      </c>
      <c r="AV132" s="115">
        <f>AR131+AM132*(V132-AK132)</f>
        <v>91403.048616</v>
      </c>
      <c r="AW132" s="115">
        <f>AR131+AM132*(W132-AK132)</f>
        <v>6637.5250000000015</v>
      </c>
      <c r="AX132" s="43">
        <f>AR131+AM132*(X132-AK132)</f>
        <v>88509.160999999993</v>
      </c>
      <c r="AY132" s="115">
        <f>AR131+AM132*(Y132-AK132)</f>
        <v>89475.938599999994</v>
      </c>
      <c r="AZ132" s="115">
        <f>AR131+AM132*(Z132-AK132)</f>
        <v>-17374.532599999991</v>
      </c>
      <c r="BA132" s="115">
        <f>AR131+AM132*(AA132-AK132)</f>
        <v>1479.647770279742</v>
      </c>
      <c r="BB132" s="43">
        <f>AR131+AM132*(AB132-AK132)</f>
        <v>-17374.532599999991</v>
      </c>
      <c r="BC132" s="43">
        <f>AR131+AM132*(AC132-AK132)</f>
        <v>1361.4674000000014</v>
      </c>
      <c r="BD132" s="43">
        <f>AR131+AM132*(AD132-AK132)</f>
        <v>-16703.533850025968</v>
      </c>
      <c r="BE132" s="43">
        <f>AR131+AM132*(AE132-AK132)</f>
        <v>1361.4674000000014</v>
      </c>
      <c r="BF132" s="43" t="e">
        <f>AR131+AM132*(AF132-AK132)</f>
        <v>#VALUE!</v>
      </c>
      <c r="BG132" s="43">
        <f>AR131+AM132*(AG132-AK132)</f>
        <v>87542.383399999992</v>
      </c>
      <c r="BH132" s="43">
        <f>AR131+AM132*(AH132-AK132)</f>
        <v>-17374.532599999991</v>
      </c>
      <c r="BI132" s="43">
        <f>AR131+AM132*(AI132-AK132)</f>
        <v>1361.4674000000014</v>
      </c>
      <c r="BJ132" s="115">
        <f>S126*AO132</f>
        <v>0</v>
      </c>
      <c r="BK132" s="147">
        <f>T126*AO132</f>
        <v>0</v>
      </c>
      <c r="BL132" s="115">
        <f>U126*AO132</f>
        <v>0</v>
      </c>
      <c r="BM132" s="115">
        <f>V126*AO132</f>
        <v>0</v>
      </c>
      <c r="BN132" s="115">
        <f>W126*AO132</f>
        <v>0</v>
      </c>
      <c r="BO132" s="115">
        <f>X126*AO132</f>
        <v>0</v>
      </c>
      <c r="BP132" s="43">
        <f>Y126*AO132</f>
        <v>0</v>
      </c>
      <c r="BQ132" s="43">
        <f>Z126*AO132</f>
        <v>39390</v>
      </c>
      <c r="BR132" s="43">
        <f>AA126*AO132</f>
        <v>0</v>
      </c>
      <c r="BS132" s="43">
        <f>AB126*AO132</f>
        <v>39390</v>
      </c>
      <c r="BT132" s="43">
        <f>AC126*AO132</f>
        <v>0</v>
      </c>
      <c r="BU132" s="43">
        <f>AD126*AO132</f>
        <v>39390</v>
      </c>
      <c r="BV132" s="43">
        <f>AE126*AO132</f>
        <v>0</v>
      </c>
      <c r="BW132" s="43">
        <f>AF126*AO132</f>
        <v>0</v>
      </c>
      <c r="BX132" s="43">
        <f>AG126*AO132</f>
        <v>135501.59999999998</v>
      </c>
      <c r="BY132" s="43" t="e">
        <f>AH126*AO132</f>
        <v>#REF!</v>
      </c>
      <c r="BZ132" s="43" t="e">
        <f>AI126*AO132</f>
        <v>#REF!</v>
      </c>
      <c r="CA132" s="44">
        <f>AN132*S128</f>
        <v>0</v>
      </c>
      <c r="CB132" s="44">
        <f>AN132*T128</f>
        <v>0</v>
      </c>
      <c r="CC132" s="44">
        <f>AN132*U128</f>
        <v>1700.2509599999998</v>
      </c>
      <c r="CD132" s="44">
        <f>AN132*V128</f>
        <v>0</v>
      </c>
      <c r="CE132" s="44">
        <f>AN132*W128</f>
        <v>850.12547999999992</v>
      </c>
      <c r="CF132" s="44">
        <f>AN132*X128</f>
        <v>850.12547999999992</v>
      </c>
      <c r="CG132" s="44">
        <f>AN132*Y128</f>
        <v>1700.2509599999998</v>
      </c>
      <c r="CH132" s="44">
        <f>AN132*Z128</f>
        <v>0</v>
      </c>
      <c r="CI132" s="44">
        <f>AN132*AA128</f>
        <v>2453.5051367549695</v>
      </c>
      <c r="CJ132" s="44">
        <f>AN132*AB128</f>
        <v>0</v>
      </c>
      <c r="CK132" s="44">
        <f>AN132*AC128</f>
        <v>0</v>
      </c>
      <c r="CL132" s="44">
        <f>AN132*AD128</f>
        <v>711.6006401851547</v>
      </c>
      <c r="CM132" s="44">
        <f>AN132*AE128</f>
        <v>0</v>
      </c>
      <c r="CN132" s="44">
        <f>AN132*AF128</f>
        <v>0</v>
      </c>
      <c r="CO132" s="44">
        <f>AN132*AG128</f>
        <v>0</v>
      </c>
      <c r="CP132" s="44">
        <f>AN132*AH128</f>
        <v>0</v>
      </c>
      <c r="CQ132" s="44">
        <f>AN132*AI128</f>
        <v>1.0589013347398184E-2</v>
      </c>
    </row>
    <row r="133" spans="6:116" ht="15.75" hidden="1" x14ac:dyDescent="0.25">
      <c r="F133">
        <v>14</v>
      </c>
      <c r="G133" s="140">
        <f>G132+G132*(G15+G16+G17-Q131-H20)</f>
        <v>391445.85984816222</v>
      </c>
      <c r="H133" s="140">
        <f>G133*G16</f>
        <v>7868.0617829480607</v>
      </c>
      <c r="I133" s="140">
        <f>G133*G17</f>
        <v>4697.350318177947</v>
      </c>
      <c r="J133" s="140">
        <f>G133*G15</f>
        <v>19572.292992408111</v>
      </c>
      <c r="K133" s="117">
        <f>(G6*G9)/G133</f>
        <v>5.2727598161355041E-2</v>
      </c>
      <c r="L133" s="130">
        <f>(H133+I133-C17+C16)</f>
        <v>236555.41210112601</v>
      </c>
      <c r="M133" s="117">
        <f>IF(M87&lt;100,0,IF(L133&gt;M25,O26,IF(L133&gt;M24,O25,IF(L133&gt;M23,O24,IF(L133&gt;M22,O23,IF(L133&gt;M21,O22,IF(L133&gt;M20,O21,IF(L133&gt;M19,O20,IF(L133&gt;M18,O19,IF(L133&gt;M17,O18,IF(L133&gt;M16,O17,O16)))))))))))</f>
        <v>0.39340000000000003</v>
      </c>
      <c r="N133" s="117">
        <f t="shared" si="185"/>
        <v>7.9073400000000005E-3</v>
      </c>
      <c r="O133" s="117">
        <f>(IF(L133&gt;M25,N26,IF(L133&gt;M24,N25,IF(L133&gt;M23,N24,IF(L133&gt;M22,N23,IF(L133&gt;M21,N22,IF(L133&gt;M20,N21,IF(L133&gt;M19,N20,IF(L133&gt;M18,N19,IF(L133&gt;M17,N18,IF(L133&gt;M16,N17,N16))))))))))*I133)/G133</f>
        <v>6.4236000000000007E-3</v>
      </c>
      <c r="P133" s="117">
        <f t="shared" si="187"/>
        <v>1.433094E-2</v>
      </c>
      <c r="Q133" s="261">
        <f t="shared" si="188"/>
        <v>6.7058538161355041E-2</v>
      </c>
      <c r="R133" s="3" t="s">
        <v>45</v>
      </c>
      <c r="S133" s="97">
        <f t="shared" ref="S133:Z133" si="216">(S123-S124)+S127+S129+S131</f>
        <v>49200</v>
      </c>
      <c r="T133" s="135">
        <f t="shared" si="216"/>
        <v>223990</v>
      </c>
      <c r="U133" s="97">
        <f t="shared" si="216"/>
        <v>54627.631999999998</v>
      </c>
      <c r="V133" s="135">
        <f t="shared" si="216"/>
        <v>232232.24</v>
      </c>
      <c r="W133" s="97">
        <f t="shared" si="216"/>
        <v>56034.936000000002</v>
      </c>
      <c r="X133" s="135">
        <f t="shared" si="216"/>
        <v>230824.93599999999</v>
      </c>
      <c r="Y133" s="135">
        <f t="shared" si="216"/>
        <v>237659.872</v>
      </c>
      <c r="Z133" s="135">
        <f t="shared" si="216"/>
        <v>115999.99999999999</v>
      </c>
      <c r="AA133" s="135">
        <f t="shared" ref="AA133:AH133" si="217">(AA123-AA124)+AA127+AA129+AA131</f>
        <v>54021.469134012201</v>
      </c>
      <c r="AB133" s="135">
        <f t="shared" si="217"/>
        <v>115999.99999999999</v>
      </c>
      <c r="AC133" s="135">
        <f t="shared" si="217"/>
        <v>40000</v>
      </c>
      <c r="AD133" s="135">
        <f t="shared" si="217"/>
        <v>121426.06304129981</v>
      </c>
      <c r="AE133" s="135">
        <f t="shared" si="217"/>
        <v>40000</v>
      </c>
      <c r="AF133" s="135" t="e">
        <f t="shared" si="217"/>
        <v>#VALUE!</v>
      </c>
      <c r="AG133" s="135">
        <f t="shared" si="217"/>
        <v>623030</v>
      </c>
      <c r="AH133" s="135" t="e">
        <f t="shared" si="217"/>
        <v>#REF!</v>
      </c>
      <c r="AI133" s="135" t="e">
        <f t="shared" ref="AI133" si="218">(AI123-AI124)+AI127+AI129+AI131</f>
        <v>#REF!</v>
      </c>
      <c r="AJ133">
        <f>AJ132*0.5</f>
        <v>0.17660000000000001</v>
      </c>
      <c r="AK133" s="132">
        <f t="shared" si="204"/>
        <v>154383</v>
      </c>
      <c r="AL133" s="133">
        <v>205842</v>
      </c>
      <c r="AM133" s="134">
        <v>0.49299999999999999</v>
      </c>
      <c r="AN133" s="122">
        <v>0.27989999999999998</v>
      </c>
      <c r="AO133" s="122">
        <v>0.4224</v>
      </c>
      <c r="AP133" s="13">
        <f t="shared" si="196"/>
        <v>51459</v>
      </c>
      <c r="AQ133" s="13">
        <f t="shared" si="197"/>
        <v>25369.287</v>
      </c>
      <c r="AR133" s="97">
        <f t="shared" si="205"/>
        <v>80307.283200000005</v>
      </c>
      <c r="AS133" s="114">
        <f>AR132+AM133*(S132-AK133)</f>
        <v>3082.7772000000041</v>
      </c>
      <c r="AT133" s="114">
        <f>AR132+AM133*(T132-AK133)</f>
        <v>89254.247199999998</v>
      </c>
      <c r="AU133" s="115">
        <f>AR132+AM133*(U132-AK133)</f>
        <v>1054.4568800000052</v>
      </c>
      <c r="AV133" s="115">
        <f>AR132+AM133*(V132-AK133)</f>
        <v>93317.671520000004</v>
      </c>
      <c r="AW133" s="115">
        <f>AR132+AM133*(W132-AK133)</f>
        <v>4100.3292000000001</v>
      </c>
      <c r="AX133" s="43">
        <f>AR132+AM133*(X132-AK133)</f>
        <v>90271.799200000009</v>
      </c>
      <c r="AY133" s="115">
        <f>AR132+AM133*(Y132-AK133)</f>
        <v>91289.351200000005</v>
      </c>
      <c r="AZ133" s="115">
        <f>AR132+AM133*(Z132-AK133)</f>
        <v>-21172.822800000002</v>
      </c>
      <c r="BA133" s="115">
        <f>AR132+AM133*(AA132-AK133)</f>
        <v>-1328.435689521968</v>
      </c>
      <c r="BB133" s="43">
        <f>AR132+AM133*(AB132-AK133)</f>
        <v>-21172.822800000002</v>
      </c>
      <c r="BC133" s="43">
        <f>AR132+AM133*(AC132-AK133)</f>
        <v>-1452.8227999999945</v>
      </c>
      <c r="BD133" s="43">
        <f>AR132+AM133*(AD132-AK133)</f>
        <v>-20466.583722849704</v>
      </c>
      <c r="BE133" s="43">
        <f>AR132+AM133*(AE132-AK133)</f>
        <v>-1452.8227999999945</v>
      </c>
      <c r="BF133" s="43" t="e">
        <f>AR132+AM133*(AF132-AK133)</f>
        <v>#VALUE!</v>
      </c>
      <c r="BG133" s="43">
        <f>AR132+AM133*(AG132-AK133)</f>
        <v>89254.247199999998</v>
      </c>
      <c r="BH133" s="43">
        <f>AR132+AM133*(AH132-AK133)</f>
        <v>-21172.822800000002</v>
      </c>
      <c r="BI133" s="43">
        <f>AR132+AM133*(AI132-AK133)</f>
        <v>-1452.8227999999945</v>
      </c>
      <c r="BJ133" s="115">
        <f>S126*AO133</f>
        <v>0</v>
      </c>
      <c r="BK133" s="115">
        <f>T126*AO133</f>
        <v>0</v>
      </c>
      <c r="BL133" s="115">
        <f>U126*AO133</f>
        <v>0</v>
      </c>
      <c r="BM133" s="115">
        <f>V126*AO133</f>
        <v>0</v>
      </c>
      <c r="BN133" s="115">
        <f>W126*AO133</f>
        <v>0</v>
      </c>
      <c r="BO133" s="115">
        <f>X126*AO133</f>
        <v>0</v>
      </c>
      <c r="BP133" s="43">
        <f>Y126*AO133</f>
        <v>0</v>
      </c>
      <c r="BQ133" s="43">
        <f>Z126*AO133</f>
        <v>42240</v>
      </c>
      <c r="BR133" s="43">
        <f>AA126*AO133</f>
        <v>0</v>
      </c>
      <c r="BS133" s="43">
        <f>AB126*AO133</f>
        <v>42240</v>
      </c>
      <c r="BT133" s="43">
        <f>AC126*AO133</f>
        <v>0</v>
      </c>
      <c r="BU133" s="43">
        <f>AD126*AO133</f>
        <v>42240</v>
      </c>
      <c r="BV133" s="43">
        <f>AE126*AO133</f>
        <v>0</v>
      </c>
      <c r="BW133" s="43">
        <f>AF126*AO133</f>
        <v>0</v>
      </c>
      <c r="BX133" s="43">
        <f>AG126*AO133</f>
        <v>145305.60000000001</v>
      </c>
      <c r="BY133" s="43" t="e">
        <f>AH126*AO133</f>
        <v>#REF!</v>
      </c>
      <c r="BZ133" s="43" t="e">
        <f>AI126*AO133</f>
        <v>#REF!</v>
      </c>
      <c r="CA133" s="44">
        <f>AN133*S128</f>
        <v>0</v>
      </c>
      <c r="CB133" s="44">
        <f>AN133*T128</f>
        <v>0</v>
      </c>
      <c r="CC133" s="44">
        <f>AN133*U128</f>
        <v>1935.3405599999999</v>
      </c>
      <c r="CD133" s="44">
        <f>AN133*V128</f>
        <v>0</v>
      </c>
      <c r="CE133" s="44">
        <f>AN133*W128</f>
        <v>967.67027999999993</v>
      </c>
      <c r="CF133" s="44">
        <f>AN133*X128</f>
        <v>967.67027999999993</v>
      </c>
      <c r="CG133" s="44">
        <f>AN133*Y128</f>
        <v>1935.3405599999999</v>
      </c>
      <c r="CH133" s="44">
        <f>AN133*Z128</f>
        <v>0</v>
      </c>
      <c r="CI133" s="44">
        <f>AN133*AA128</f>
        <v>2792.7453752652132</v>
      </c>
      <c r="CJ133" s="44">
        <f>AN133*AB128</f>
        <v>0</v>
      </c>
      <c r="CK133" s="44">
        <f>AN133*AC128</f>
        <v>0</v>
      </c>
      <c r="CL133" s="44">
        <f>AN133*AD128</f>
        <v>809.9919446434518</v>
      </c>
      <c r="CM133" s="44">
        <f>AN133*AE128</f>
        <v>0</v>
      </c>
      <c r="CN133" s="44">
        <f>AN133*AF128</f>
        <v>0</v>
      </c>
      <c r="CO133" s="44">
        <f>AN133*AG128</f>
        <v>0</v>
      </c>
      <c r="CP133" s="44">
        <f>AN133*AH128</f>
        <v>0</v>
      </c>
      <c r="CQ133" s="44">
        <f>AN133*AI128</f>
        <v>1.2053130687014038E-2</v>
      </c>
    </row>
    <row r="134" spans="6:116" ht="15.75" hidden="1" x14ac:dyDescent="0.25">
      <c r="F134">
        <v>15</v>
      </c>
      <c r="G134" s="140">
        <f>G133+G133*(G15+G16+G17-Q133-H20)</f>
        <v>389504.86061400065</v>
      </c>
      <c r="H134" s="140">
        <f>G134*G16</f>
        <v>7829.0476983414128</v>
      </c>
      <c r="I134" s="140">
        <f>G134*G17</f>
        <v>4674.0583273680077</v>
      </c>
      <c r="J134" s="140">
        <f>G134*G15</f>
        <v>19475.243030700032</v>
      </c>
      <c r="K134" s="117">
        <f>(G6*G9)/G134</f>
        <v>5.2990352848136191E-2</v>
      </c>
      <c r="L134" s="130">
        <f>(H134+I134-C17+C16)</f>
        <v>236493.10602570942</v>
      </c>
      <c r="M134" s="117">
        <f>IF(M87&lt;100,0,IF(L134&gt;M25,O26,IF(L134&gt;M24,O25,IF(L134&gt;M23,O24,IF(L134&gt;M22,O23,IF(L134&gt;M21,O22,IF(L134&gt;M20,O21,IF(L134&gt;M19,O20,IF(L134&gt;M18,O19,IF(L134&gt;M17,O18,IF(L134&gt;M16,O17,O16)))))))))))</f>
        <v>0.39340000000000003</v>
      </c>
      <c r="N134" s="117">
        <f t="shared" si="185"/>
        <v>7.9073400000000005E-3</v>
      </c>
      <c r="O134" s="117">
        <f>(IF(L134&gt;M25,N26,IF(L134&gt;M24,N25,IF(L134&gt;M23,N24,IF(L134&gt;M22,N23,IF(L134&gt;M21,N22,IF(L134&gt;M20,N21,IF(L134&gt;M19,N20,IF(L134&gt;M18,N19,IF(L134&gt;M17,N18,IF(L134&gt;M16,N17,N16))))))))))*I134)/G134</f>
        <v>6.4235999999999998E-3</v>
      </c>
      <c r="P134" s="117">
        <f t="shared" si="187"/>
        <v>1.433094E-2</v>
      </c>
      <c r="Q134" s="261">
        <f t="shared" si="188"/>
        <v>6.7321292848136191E-2</v>
      </c>
      <c r="R134" s="3" t="s">
        <v>46</v>
      </c>
      <c r="S134" s="135">
        <f>IF(S133&lt;AL126,AS126,IF(S133&lt;AL127,AS127,IF(S133&lt;AL128,AS128,IF(S133&lt;AL129,AS129,IF(S133&lt;AL130,AS130,IF(S133&lt;AL131,AS131,IF(S133&lt;AL132,AS132,IF(S133&lt;AL133,AS133,AS134))))))))</f>
        <v>12671.418599999999</v>
      </c>
      <c r="T134" s="135">
        <f>IF(T133&lt;AL126,AT126,IF(T133&lt;AL127,AT127,IF(T133&lt;AL128,AT128,IF(T133&lt;AL129,AT129,IF(T133&lt;AL130,AT130,IF(T133&lt;AL131,AT131,IF(T133&lt;AL132,AT132,IF(T133&lt;AL133,AT133,AT134))))))))</f>
        <v>89979.6342</v>
      </c>
      <c r="U134" s="135">
        <f>IF(U133&lt;AL126,AU126,IF(U133&lt;AL127,AU127,IF(U133&lt;AL128,AU128,IF(U133&lt;AL129,AU129,IF(U133&lt;AL130,AU130,IF(U133&lt;AL131,AU131,IF(U133&lt;AL132,AU132,IF(U133&lt;AL133,AU133,AU134))))))))</f>
        <v>11218.269032</v>
      </c>
      <c r="V134" s="135">
        <f>IF(V133&lt;AL126,AV126,IF(V133&lt;AL127,AV127,IF(V133&lt;AL128,AV128,IF(V133&lt;AL129,AV129,IF(V133&lt;AL130,AV130,IF(V133&lt;AL131,AV131,IF(V133&lt;AL132,AV132,IF(V133&lt;AL133,AV133,AV134))))))))</f>
        <v>94372.748120000004</v>
      </c>
      <c r="W134" s="135">
        <f>IF(W133&lt;AL126,AW126,IF(W133&lt;AL127,AW127,IF(W133&lt;AL128,AW128,IF(W133&lt;AL129,AW129,IF(W133&lt;AL130,AW130,IF(W133&lt;AL131,AW131,IF(W133&lt;AL132,AW132,IF(W133&lt;AL133,AW133,AW134))))))))</f>
        <v>13400.423399999998</v>
      </c>
      <c r="X134" s="135">
        <f>IF(X133&lt;AL126,AX126,IF(X133&lt;AL127,AX127,IF(X133&lt;AL128,AX128,IF(X133&lt;AL129,AX129,IF(X133&lt;AL130,AX130,IF(X133&lt;AL131,AX131,IF(X133&lt;AL132,AX132,IF(X133&lt;AL133,AX133,AX134))))))))</f>
        <v>91079.746200000009</v>
      </c>
      <c r="Y134" s="135">
        <f>IF(Y133&lt;AL126,AY126,IF(Y133&lt;AL127,AY127,IF(Y133&lt;AL128,AY128,IF(Y133&lt;AL129,AY129,IF(Y133&lt;AL130,AY130,IF(Y133&lt;AL131,AY131,IF(Y133&lt;AL132,AY132,IF(Y133&lt;AL133,AY133,AY134))))))))</f>
        <v>92179.858200000002</v>
      </c>
      <c r="Z134" s="135">
        <f>IF(Z133&lt;AL126,AZ126,IF(Z133&lt;AL127,AZ127,IF(Z133&lt;AL128,AZ128,IF(Z133&lt;AL129,AZ129,IF(Z133&lt;AL130,AZ130,IF(Z133&lt;AL131,AZ131,IF(Z133&lt;AL132,AZ132,IF(Z133&lt;AL133,AZ133,AZ134))))))))</f>
        <v>-11250.2238</v>
      </c>
      <c r="AA134" s="135">
        <f>IF(AA133&lt;AL126,BA126,IF(AA133&lt;AL127,BA127,IF(AA133&lt;AL128,BA128,IF(AA133&lt;AL129,BA129,IF(AA133&lt;AL130,BA130,IF(AA133&lt;AL131,BA131,IF(AA133&lt;AL132,BA132,IF(AA133&lt;AL133,BA133,BA134))))))))</f>
        <v>9511.0932600828419</v>
      </c>
      <c r="AB134" s="135">
        <f>IF(AB133&lt;AL126,BB126,IF(AB133&lt;AL127,BB127,IF(AB133&lt;AL128,BB128,IF(AB133&lt;AL129,BB129,IF(AB133&lt;AL130,BB130,IF(AB133&lt;AL131,BB131,IF(AB133&lt;AL132,BB132,IF(AB133&lt;AL133,BB133,BB134))))))))</f>
        <v>-11250.2238</v>
      </c>
      <c r="AC134" s="135">
        <f>IF(AC133&lt;AL126,BC126,IF(AC133&lt;AL127,BC127,IF(AC133&lt;AL128,BC128,IF(AC133&lt;AL129,BC129,IF(AC133&lt;AL130,BC130,IF(AC133&lt;AL131,BC131,IF(AC133&lt;AL132,BC132,IF(AC133&lt;AL133,BC133,BC134))))))))</f>
        <v>9872</v>
      </c>
      <c r="AD134" s="135">
        <f>IF(AD133&lt;AL126,BD126,IF(AD133&lt;AL127,BD127,IF(AD133&lt;AL128,BD128,IF(AD133&lt;AL129,BD129,IF(AD133&lt;AL130,BD130,IF(AD133&lt;AL131,BD131,IF(AD133&lt;AL132,BD132,IF(AD133&lt;AL133,BD133,BD134))))))))</f>
        <v>-10641.110502628188</v>
      </c>
      <c r="AE134" s="135">
        <f>IF(AE133&lt;AL126,BE126,IF(AE133&lt;AL127,BE127,IF(AE133&lt;AL128,BE128,IF(AE133&lt;AL129,BE129,IF(AE133&lt;AL130,BE130,IF(AE133&lt;AL131,BE131,IF(AE133&lt;AL132,BE132,IF(AE133&lt;AL133,BE133,BE134))))))))</f>
        <v>9872</v>
      </c>
      <c r="AF134" s="135" t="e">
        <f>IF(AF133&lt;AL126,BF126,IF(AF133&lt;AL127,BF127,IF(AF133&lt;AL128,BF128,IF(AF133&lt;AL129,BF129,IF(AF133&lt;AL130,BF130,IF(AF133&lt;AL131,BF131,IF(AF133&lt;AL132,BF132,IF(AF133&lt;AL133,BF133,BF134))))))))</f>
        <v>#VALUE!</v>
      </c>
      <c r="AG134" s="135">
        <f>IF(AG133&lt;AL126,BG126,IF(AG133&lt;AL127,BG127,IF(AG133&lt;AL128,BG128,IF(AG133&lt;AL129,BG129,IF(AG133&lt;AL130,BG130,IF(AG133&lt;AL131,BG131,IF(AG133&lt;AL132,BG132,IF(AG133&lt;AL133,BG133,BG134))))))))</f>
        <v>89979.6342</v>
      </c>
      <c r="AH134" s="135" t="e">
        <f>IF(AH133&lt;AL126,BH126,IF(AH133&lt;AL127,BH127,IF(AH133&lt;AL128,BH128,IF(AH133&lt;AL129,BH129,IF(AH133&lt;AL130,BH130,IF(AH133&lt;AL131,BH131,IF(AH133&lt;AL132,BH132,IF(AH133&lt;AL133,BH133,BH134))))))))</f>
        <v>#REF!</v>
      </c>
      <c r="AI134" s="135" t="e">
        <f>IF(AI133&lt;AL126,BI126,IF(AI133&lt;AL127,BI127,IF(AI133&lt;AL128,BI128,IF(AI133&lt;AL129,BI129,IF(AI133&lt;AL130,BI130,IF(AI133&lt;AL131,BI131,IF(AI133&lt;AL132,BI132,IF(AI133&lt;AL133,BI133,BI134))))))))</f>
        <v>#REF!</v>
      </c>
      <c r="AJ134" s="8">
        <f>IF(S133&lt;AL126,AN126,IF(S133&lt;AL127,AN127,IF(S133&lt;AL128,AN128,IF(S133&lt;AL129,AN129,IF(S133&lt;AL130,AN130,IF(S133&lt;AL131,AN131,IF(S133&lt;AL132,AN132,IF(S133&lt;AL133,AN133,AN134))))))))</f>
        <v>8.6900000000000005E-2</v>
      </c>
      <c r="AK134" s="131">
        <f t="shared" si="204"/>
        <v>205843</v>
      </c>
      <c r="AL134" s="131">
        <v>205843</v>
      </c>
      <c r="AM134" s="137">
        <v>0.53300000000000003</v>
      </c>
      <c r="AN134" s="139">
        <v>0.33510000000000001</v>
      </c>
      <c r="AO134" s="139">
        <v>0.46879999999999999</v>
      </c>
      <c r="AP134" s="13"/>
      <c r="AQ134" s="13"/>
      <c r="AR134" s="97"/>
      <c r="AS134" s="114">
        <f>AR133+AM134*(S132-AK134)</f>
        <v>-3183.435799999992</v>
      </c>
      <c r="AT134" s="114">
        <f>AR133+AM134*(T132-AK134)</f>
        <v>89979.6342</v>
      </c>
      <c r="AU134" s="115">
        <f>AR133+AM134*(U132-AK134)</f>
        <v>-5376.3257199999935</v>
      </c>
      <c r="AV134" s="115">
        <f>AR133+AM134*(V132-AK134)</f>
        <v>94372.748120000004</v>
      </c>
      <c r="AW134" s="115">
        <f>AR133+AM134*(W132-AK134)</f>
        <v>-2083.3237999999983</v>
      </c>
      <c r="AX134" s="43">
        <f>AR133+AM134*(X132-AK134)</f>
        <v>91079.746200000009</v>
      </c>
      <c r="AY134" s="115">
        <f>AR133+AM134*(Y132-AK134)</f>
        <v>92179.858200000002</v>
      </c>
      <c r="AZ134" s="115">
        <f>AR133+AM134*(Z132-AK134)</f>
        <v>-29407.035799999998</v>
      </c>
      <c r="BA134" s="115">
        <f>AR133+AM134*(AA132-AK134)</f>
        <v>-7952.5564290369366</v>
      </c>
      <c r="BB134" s="43">
        <f>AR133+AM134*(AB132-AK134)</f>
        <v>-29407.035799999998</v>
      </c>
      <c r="BC134" s="43">
        <f>AR133+AM134*(AC132-AK134)</f>
        <v>-8087.0357999999978</v>
      </c>
      <c r="BD134" s="43">
        <f>AR133+AM134*(AD132-AK134)</f>
        <v>-28643.495377847663</v>
      </c>
      <c r="BE134" s="43">
        <f>AR133+AM134*(AE132-AK134)</f>
        <v>-8087.0357999999978</v>
      </c>
      <c r="BF134" s="43" t="e">
        <f>AR133+AM134*(AF132-AK134)</f>
        <v>#VALUE!</v>
      </c>
      <c r="BG134" s="43">
        <f>AR133+AM134*(AG132-AK134)</f>
        <v>89979.6342</v>
      </c>
      <c r="BH134" s="43">
        <f>AR133+AM134*(AH132-AK134)</f>
        <v>-29407.035799999998</v>
      </c>
      <c r="BI134" s="43">
        <f>AR133+AM134*(AI132-AK134)</f>
        <v>-8087.0357999999978</v>
      </c>
      <c r="BJ134" s="115">
        <f>S126*AO134</f>
        <v>0</v>
      </c>
      <c r="BK134" s="115">
        <f>T126*AO134</f>
        <v>0</v>
      </c>
      <c r="BL134" s="115">
        <f>U126*AO134</f>
        <v>0</v>
      </c>
      <c r="BM134" s="115">
        <f>V126*AO134</f>
        <v>0</v>
      </c>
      <c r="BN134" s="115">
        <f>W126*AO134</f>
        <v>0</v>
      </c>
      <c r="BO134" s="115">
        <f>X126*AO134</f>
        <v>0</v>
      </c>
      <c r="BP134" s="43">
        <f>Y126*AO134</f>
        <v>0</v>
      </c>
      <c r="BQ134" s="43">
        <f>Z126*AO134</f>
        <v>46880</v>
      </c>
      <c r="BR134" s="43">
        <f>AA126*AO134</f>
        <v>0</v>
      </c>
      <c r="BS134" s="43">
        <f>AB126*AO134</f>
        <v>46880</v>
      </c>
      <c r="BT134" s="43">
        <f>AC126*AO134</f>
        <v>0</v>
      </c>
      <c r="BU134" s="43">
        <f>AD126*AO134</f>
        <v>46880</v>
      </c>
      <c r="BV134" s="43">
        <f>AE126*AO134</f>
        <v>0</v>
      </c>
      <c r="BW134" s="43">
        <f>AF126*AO134</f>
        <v>0</v>
      </c>
      <c r="BX134" s="43">
        <f>AG126*AO134</f>
        <v>161267.20000000001</v>
      </c>
      <c r="BY134" s="43" t="e">
        <f>AH126*AO134</f>
        <v>#REF!</v>
      </c>
      <c r="BZ134" s="43" t="e">
        <f>AI126*AO134</f>
        <v>#REF!</v>
      </c>
      <c r="CA134" s="44">
        <f>AN134*S128</f>
        <v>0</v>
      </c>
      <c r="CB134" s="44">
        <f>AN134*T128</f>
        <v>0</v>
      </c>
      <c r="CC134" s="44">
        <f>AN134*U128</f>
        <v>2317.0154400000001</v>
      </c>
      <c r="CD134" s="44">
        <f>AN134*V128</f>
        <v>0</v>
      </c>
      <c r="CE134" s="44">
        <f>AN134*W128</f>
        <v>1158.5077200000001</v>
      </c>
      <c r="CF134" s="44">
        <f>AN134*X128</f>
        <v>1158.5077200000001</v>
      </c>
      <c r="CG134" s="44">
        <f>AN134*Y128</f>
        <v>2317.0154400000001</v>
      </c>
      <c r="CH134" s="44">
        <f>AN134*Z128</f>
        <v>0</v>
      </c>
      <c r="CI134" s="44">
        <f>AN134*AA128</f>
        <v>3343.5118801406679</v>
      </c>
      <c r="CJ134" s="44">
        <f>AN134*AB128</f>
        <v>0</v>
      </c>
      <c r="CK134" s="44">
        <f>AN134*AC128</f>
        <v>0</v>
      </c>
      <c r="CL134" s="44">
        <f>AN134*AD128</f>
        <v>969.73312129339308</v>
      </c>
      <c r="CM134" s="44">
        <f>AN134*AE128</f>
        <v>0</v>
      </c>
      <c r="CN134" s="44">
        <f>AN134*AF128</f>
        <v>0</v>
      </c>
      <c r="CO134" s="44">
        <f>AN134*AG128</f>
        <v>0</v>
      </c>
      <c r="CP134" s="44">
        <f>AN134*AH128</f>
        <v>0</v>
      </c>
      <c r="CQ134" s="44">
        <f>AN134*AI128</f>
        <v>1.443016825015507E-2</v>
      </c>
    </row>
    <row r="135" spans="6:116" ht="15.75" hidden="1" x14ac:dyDescent="0.25">
      <c r="F135">
        <v>16</v>
      </c>
      <c r="G135" s="140">
        <f>G134+G134*(G15+G16+G17-Q134-H20)</f>
        <v>387471.1416709625</v>
      </c>
      <c r="H135" s="140">
        <f>G135*G16</f>
        <v>7788.1699475863461</v>
      </c>
      <c r="I135" s="140">
        <f>G135*G17</f>
        <v>4649.65370005155</v>
      </c>
      <c r="J135" s="140">
        <f>G135*G15</f>
        <v>19373.557083548127</v>
      </c>
      <c r="K135" s="117">
        <f>(G6*G10)/G135</f>
        <v>5.3268483198491534E-2</v>
      </c>
      <c r="L135" s="130">
        <f>(H135+I135-C17+C16)</f>
        <v>236427.82364763791</v>
      </c>
      <c r="M135" s="117">
        <f>IF(M87&lt;100,0,IF(L135&gt;M25,O26,IF(L135&gt;M24,O25,IF(L135&gt;M23,O24,IF(L135&gt;M22,O23,IF(L135&gt;M21,O22,IF(L135&gt;M20,O21,IF(L135&gt;M19,O20,IF(L135&gt;M18,O19,IF(L135&gt;M17,O18,IF(L135&gt;M16,O17,O16)))))))))))</f>
        <v>0.39340000000000003</v>
      </c>
      <c r="N135" s="117">
        <f t="shared" si="185"/>
        <v>7.9073400000000005E-3</v>
      </c>
      <c r="O135" s="117">
        <f>(IF(L135&gt;M25,N26,IF(L135&gt;M24,N25,IF(L135&gt;M23,N24,IF(L135&gt;M22,N23,IF(L135&gt;M21,N22,IF(L135&gt;M20,N21,IF(L135&gt;M19,N20,IF(L135&gt;M18,N19,IF(L135&gt;M17,N18,IF(L135&gt;M16,N17,N16))))))))))*I135)/G135</f>
        <v>6.4236000000000007E-3</v>
      </c>
      <c r="P135" s="117">
        <f t="shared" si="187"/>
        <v>1.433094E-2</v>
      </c>
      <c r="Q135" s="261">
        <f t="shared" si="188"/>
        <v>6.7599423198491534E-2</v>
      </c>
      <c r="R135" s="3" t="s">
        <v>70</v>
      </c>
      <c r="S135" s="8">
        <f>IF(S133&lt;AL126,BJ126,IF(S133&lt;AL127,BJ127,IF(S133&lt;AL128,BJ128,IF(S133&lt;AL129,BJ129,IF(S133&lt;AL130,BJ130,IF(S133&lt;AL131,BJ131,IF(S133&lt;AL132,BJ132,IF(S133&lt;AL133,BJ133,BJ134))))))))</f>
        <v>0</v>
      </c>
      <c r="T135" s="8">
        <f>IF(T133&lt;AL126,BK126,IF(T133&lt;AL127,BK127,IF(T133&lt;AL128,BK128,IF(T133&lt;AL129,BK129,IF(T133&lt;AL130,BK130,IF(T133&lt;AL131,BK131,IF(T133&lt;AL132,BK132,IF(T133&lt;AL133,BK133,BK134))))))))</f>
        <v>0</v>
      </c>
      <c r="U135" s="8">
        <f>IF(U133&lt;AL126,BL126,IF(U133&lt;AL127,BL127,IF(U133&lt;AL128,BL128,IF(U133&lt;AL129,BL129,IF(U133&lt;AL130,BL130,IF(U133&lt;AL131,BL131,IF(U133&lt;AL132,BL132,IF(U133&lt;AL133,BL133,BL134))))))))</f>
        <v>0</v>
      </c>
      <c r="V135" s="8">
        <f>IF(V133&lt;AL126,BM126,IF(V133&lt;AL127,BM127,IF(V133&lt;AL128,BM128,IF(V133&lt;AL129,BM129,IF(V133&lt;AL130,BM130,IF(V133&lt;AL131,BM131,IF(V133&lt;AL132,BM132,IF(V133&lt;AL133,BM133,BM134))))))))</f>
        <v>0</v>
      </c>
      <c r="W135" s="2">
        <f>IF(W133&lt;AL126,BN126,IF(W133&lt;AL127,BN127,IF(W133&lt;AL128,BN128,IF(W133&lt;AL129,BN129,IF(W133&lt;AL130,BN130,IF(W133&lt;AL131,BN131,IF(W133&lt;AL132,BN132,IF(W133&lt;AL133,BN133,BN134))))))))</f>
        <v>0</v>
      </c>
      <c r="X135" s="2">
        <f>IF(X133&lt;AL126,BO126,IF(X133&lt;AL127,BO127,IF(X133&lt;AL128,BO128,IF(X133&lt;AL129,BO129,IF(X133&lt;AL130,BO130,IF(X133&lt;AL131,BO131,IF(X133&lt;AL132,BO132,IF(X133&lt;AL133,BO133,BO134))))))))</f>
        <v>0</v>
      </c>
      <c r="Y135" s="2">
        <f>IF(Y133&lt;AL126,BP126,IF(Y133&lt;AL127,BP127,IF(Y133&lt;AL128,BP128,IF(Y133&lt;AL129,BP129,IF(Y133&lt;AL130,BP130,IF(Y133&lt;AL131,BP131,IF(Y133&lt;AL132,BP132,IF(Y133&lt;AL133,BP133,BP134))))))))</f>
        <v>0</v>
      </c>
      <c r="Z135" s="2">
        <f>IF(Z133&lt;AL126,BQ126,IF(Z133&lt;AL127,BQ127,IF(Z133&lt;AL128,BQ128,IF(Z133&lt;AL129,BQ129,IF(Z133&lt;AL130,BQ130,IF(Z133&lt;AL131,BQ131,IF(Z133&lt;AL132,BQ132,IF(Z133&lt;AL133,BQ133,BQ134))))))))</f>
        <v>34380</v>
      </c>
      <c r="AA135" s="2">
        <f>IF(AA133&lt;AL126,BR126,IF(AA133&lt;AL127,BR127,IF(AA133&lt;AL128,BR128,IF(AA133&lt;AL129,BR129,IF(AA133&lt;AL130,BR130,IF(AA133&lt;AL131,BR131,IF(AA133&lt;AL132,BR132,IF(AA133&lt;AL133,BR133,BR134))))))))</f>
        <v>0</v>
      </c>
      <c r="AB135" s="2">
        <f>IF(AB133&lt;AL126,BS126,IF(AB133&lt;AL127,BS127,IF(AB133&lt;AL128,BS128,IF(AB133&lt;AL129,BS129,IF(AB133&lt;AL130,BS130,IF(AB133&lt;AL131,BS131,IF(AB133&lt;AL132,BS132,IF(AB133&lt;AL133,BS133,BS134))))))))</f>
        <v>34380</v>
      </c>
      <c r="AC135" s="2">
        <f>IF(AC133&lt;AL126,BT126,IF(AC133&lt;AL127,BT127,IF(AC133&lt;AL128,BT128,IF(AC133&lt;AL129,BT129,IF(AC133&lt;AL130,BT130,IF(AC133&lt;AL131,BT131,IF(AC133&lt;AL132,BT132,IF(AC133&lt;AL133,BT133,BT134))))))))</f>
        <v>0</v>
      </c>
      <c r="AD135" s="2">
        <f>IF(AD133&lt;AL126,BU126,IF(AD133&lt;AL127,BU127,IF(AD133&lt;AL128,BU128,IF(AD133&lt;AL129,BU129,IF(AD133&lt;AL130,BU130,IF(AD133&lt;AL131,BU131,IF(AD133&lt;AL132,BU132,IF(AD133&lt;AL133,BU133,BU134))))))))</f>
        <v>34380</v>
      </c>
      <c r="AE135" s="2">
        <f>IF(AE133&lt;AL126,BV126,IF(AE133&lt;AL127,BV127,IF(AE133&lt;AL128,BV128,IF(AE133&lt;AL129,BV129,IF(AE133&lt;AL130,BV130,IF(AE133&lt;AL131,BV131,IF(AE133&lt;AL132,BV132,IF(AE133&lt;AL133,BV133,BV134))))))))</f>
        <v>0</v>
      </c>
      <c r="AF135" s="2" t="e">
        <f>IF(AF133&lt;AL126,BW126,IF(AF133&lt;AL127,BW127,IF(AF133&lt;AL128,BW128,IF(AF133&lt;AL129,BW129,IF(AF133&lt;AL130,BW130,IF(AF133&lt;AL131,BW131,IF(AF133&lt;AL132,BW132,IF(AF133&lt;AL133,BW133,BW134))))))))</f>
        <v>#VALUE!</v>
      </c>
      <c r="AG135" s="2">
        <f>IF(AG133&lt;AL126,BX126,IF(AG133&lt;AL127,BX127,IF(AG133&lt;AL128,BX128,IF(AG133&lt;AL129,BX129,IF(AG133&lt;AL130,BX130,IF(AG133&lt;AL131,BX131,IF(AG133&lt;AL132,BX132,IF(AG133&lt;AL133,BX133,BX134))))))))</f>
        <v>161267.20000000001</v>
      </c>
      <c r="AH135" s="2" t="e">
        <f>IF(AH133&lt;AL126,BY126,IF(AH133&lt;AL127,BY127,IF(AH133&lt;AL128,BY128,IF(AH133&lt;AL129,BY129,IF(AH133&lt;AL130,BY130,IF(AH133&lt;AL131,BY131,IF(AH133&lt;AL132,BY132,IF(AH133&lt;AL133,BY133,BY134))))))))</f>
        <v>#REF!</v>
      </c>
      <c r="AI135" s="2" t="e">
        <f>IF(AI133&lt;AL126,BZ126,IF(AI133&lt;AL127,BZ127,IF(AI133&lt;AL128,BZ128,IF(AI133&lt;AL129,BZ129,IF(AI133&lt;AL130,BZ130,IF(AI133&lt;AL131,BZ131,IF(AI133&lt;AL132,BZ132,IF(AI133&lt;AL133,BZ133,BZ134))))))))</f>
        <v>#REF!</v>
      </c>
      <c r="AK135" s="141"/>
      <c r="AL135" s="131">
        <v>205843</v>
      </c>
      <c r="AM135" s="137">
        <v>0.53300000000000003</v>
      </c>
      <c r="AN135" s="139">
        <v>0.33510000000000001</v>
      </c>
      <c r="AO135" s="139">
        <v>0.46879999999999999</v>
      </c>
      <c r="AP135" s="13"/>
      <c r="AQ135" s="13"/>
      <c r="AR135" s="97"/>
      <c r="AS135" s="114"/>
      <c r="AT135" s="114"/>
      <c r="AU135" s="115">
        <f>AR134+AM135*(U132-AK135)</f>
        <v>24030.710080000001</v>
      </c>
      <c r="AV135" s="115">
        <f>AR134+AM135*(V132-AK135)</f>
        <v>123779.78392</v>
      </c>
      <c r="AW135" s="115">
        <f>AR134+AM135*(W132-AK135)</f>
        <v>27323.712000000003</v>
      </c>
      <c r="AX135" s="43">
        <f>AR134+AM135*(X132-AK135)</f>
        <v>120486.78200000001</v>
      </c>
      <c r="AY135" s="115">
        <f>AR134+AM135*(Y132-AK135)</f>
        <v>121586.894</v>
      </c>
      <c r="AZ135" s="115">
        <f>AR134+AM135*(Z132-AK135)</f>
        <v>0</v>
      </c>
      <c r="BA135" s="115">
        <f>AR134+AM135*(AA132-AK135)</f>
        <v>21454.479370963069</v>
      </c>
      <c r="BB135" s="43">
        <f>AR134+AM135*(AB132-AK135)</f>
        <v>0</v>
      </c>
      <c r="BC135" s="43">
        <f>AR134+AM135*(AC132-AK135)</f>
        <v>21320</v>
      </c>
      <c r="BD135" s="43">
        <f>AR134+AM135*(AD132-AK135)</f>
        <v>763.54042215234142</v>
      </c>
      <c r="BE135" s="43">
        <f>AR134+AM135*(AE132-AK135)</f>
        <v>21320</v>
      </c>
      <c r="BF135" s="43" t="e">
        <f>AR134+AM135*(AF132-AK135)</f>
        <v>#VALUE!</v>
      </c>
      <c r="BG135" s="43">
        <f>AR134+AM135*(AG132-AK135)</f>
        <v>119386.67000000001</v>
      </c>
      <c r="BH135" s="43">
        <f>AR134+AM135*(AH132-AK135)</f>
        <v>0</v>
      </c>
      <c r="BI135" s="43">
        <f>AR134+AM135*(AI132-AK135)</f>
        <v>21320</v>
      </c>
      <c r="BJ135" s="115">
        <f>S126*AO135</f>
        <v>0</v>
      </c>
      <c r="BK135" s="115">
        <f>T126*AO135</f>
        <v>0</v>
      </c>
      <c r="BL135" s="115">
        <f>U126*AO135</f>
        <v>0</v>
      </c>
      <c r="BM135" s="115">
        <f>V126*AO135</f>
        <v>0</v>
      </c>
      <c r="BN135" s="115">
        <f>W126*AO135</f>
        <v>0</v>
      </c>
      <c r="BO135" s="115">
        <f>X126*AO135</f>
        <v>0</v>
      </c>
      <c r="BP135" s="43">
        <f>Y126*AO135</f>
        <v>0</v>
      </c>
      <c r="BQ135" s="43">
        <f>Z126*AO135</f>
        <v>46880</v>
      </c>
      <c r="BR135" s="43">
        <f>AA126*AO135</f>
        <v>0</v>
      </c>
      <c r="BS135" s="43">
        <f>AB126*AO135</f>
        <v>46880</v>
      </c>
      <c r="BT135" s="43">
        <f>AC126*AO135</f>
        <v>0</v>
      </c>
      <c r="BU135" s="43">
        <f>AD126*AO135</f>
        <v>46880</v>
      </c>
      <c r="BV135" s="43">
        <f>AE126*AO135</f>
        <v>0</v>
      </c>
      <c r="BW135" s="43">
        <f>AF126*AO135</f>
        <v>0</v>
      </c>
      <c r="BX135" s="43">
        <f>AG126*AO135</f>
        <v>161267.20000000001</v>
      </c>
      <c r="BY135" s="43" t="e">
        <f>AH126*AO135</f>
        <v>#REF!</v>
      </c>
      <c r="BZ135" s="43" t="e">
        <f>AI126*AO135</f>
        <v>#REF!</v>
      </c>
      <c r="CA135" s="44">
        <f>AN135*S128</f>
        <v>0</v>
      </c>
      <c r="CB135" s="44">
        <f>AN135*T128</f>
        <v>0</v>
      </c>
      <c r="CC135" s="44">
        <f>AN135*U128</f>
        <v>2317.0154400000001</v>
      </c>
      <c r="CD135" s="44">
        <f>AN135*V128</f>
        <v>0</v>
      </c>
      <c r="CE135" s="44">
        <f>AN135*W128</f>
        <v>1158.5077200000001</v>
      </c>
      <c r="CF135" s="44">
        <f>AN135*X128</f>
        <v>1158.5077200000001</v>
      </c>
      <c r="CG135" s="44">
        <f>AN135*Y128</f>
        <v>2317.0154400000001</v>
      </c>
      <c r="CH135" s="44">
        <f>AN135*Z128</f>
        <v>0</v>
      </c>
      <c r="CI135" s="44">
        <f>AN135*AA128</f>
        <v>3343.5118801406679</v>
      </c>
      <c r="CJ135" s="44">
        <f>AN135*AB128</f>
        <v>0</v>
      </c>
      <c r="CK135" s="44">
        <f>AN135*AC128</f>
        <v>0</v>
      </c>
      <c r="CL135" s="44">
        <f>AN135*AD128</f>
        <v>969.73312129339308</v>
      </c>
      <c r="CM135" s="44">
        <f>AN135*AE128</f>
        <v>0</v>
      </c>
      <c r="CN135" s="44">
        <f>AN135*AF128</f>
        <v>0</v>
      </c>
      <c r="CO135" s="44">
        <f>AN135*AG128</f>
        <v>0</v>
      </c>
      <c r="CP135" s="44">
        <f>AN135*AH128</f>
        <v>0</v>
      </c>
      <c r="CQ135" s="44">
        <f>AN135*AI128</f>
        <v>1.443016825015507E-2</v>
      </c>
    </row>
    <row r="136" spans="6:116" ht="15.75" hidden="1" x14ac:dyDescent="0.25">
      <c r="F136" s="96">
        <v>17</v>
      </c>
      <c r="G136" s="140">
        <f>G135+G135*(G15+G16+G17-Q135-H20)</f>
        <v>385340.27388571121</v>
      </c>
      <c r="H136" s="140">
        <f>G136*G16</f>
        <v>7745.3395051027956</v>
      </c>
      <c r="I136" s="140">
        <f>G136*G17</f>
        <v>4624.0832866285346</v>
      </c>
      <c r="J136" s="140">
        <f>G136*G15</f>
        <v>19267.013694285561</v>
      </c>
      <c r="K136" s="117">
        <f>(G6*G10)/G136</f>
        <v>5.3563049073146338E-2</v>
      </c>
      <c r="L136" s="130">
        <f>(H136+I136-C17+C16)</f>
        <v>236359.42279173134</v>
      </c>
      <c r="M136" s="117">
        <f>IF(M87&lt;100,0,IF(L136&gt;M25,O26,IF(L136&gt;M24,O25,IF(L136&gt;M23,O24,IF(L136&gt;M22,O23,IF(L136&gt;M21,O22,IF(L136&gt;M20,O21,IF(L136&gt;M19,O20,IF(L136&gt;M18,O19,IF(L136&gt;M17,O18,IF(L136&gt;M16,O17,O16)))))))))))</f>
        <v>0.39340000000000003</v>
      </c>
      <c r="N136" s="117">
        <f t="shared" si="185"/>
        <v>7.9073400000000005E-3</v>
      </c>
      <c r="O136" s="117">
        <f>(IF(L136&gt;M25,N26,IF(L136&gt;M24,N25,IF(L136&gt;M23,N24,IF(L136&gt;M22,N23,IF(L136&gt;M21,N22,IF(L136&gt;M20,N21,IF(L136&gt;M19,N20,IF(L136&gt;M18,N19,IF(L136&gt;M17,N18,IF(L136&gt;M16,N17,N16))))))))))*I136)/G136</f>
        <v>6.4235999999999998E-3</v>
      </c>
      <c r="P136" s="117">
        <f t="shared" si="187"/>
        <v>1.433094E-2</v>
      </c>
      <c r="Q136" s="261">
        <f t="shared" si="188"/>
        <v>6.7893989073146338E-2</v>
      </c>
      <c r="R136" s="3" t="s">
        <v>49</v>
      </c>
      <c r="S136" s="66">
        <f t="shared" ref="S136:AI136" si="219">CA137</f>
        <v>0</v>
      </c>
      <c r="T136" s="66">
        <f t="shared" si="219"/>
        <v>0</v>
      </c>
      <c r="U136" s="66">
        <f t="shared" si="219"/>
        <v>600.86135999999999</v>
      </c>
      <c r="V136" s="66">
        <f t="shared" si="219"/>
        <v>0</v>
      </c>
      <c r="W136" s="66">
        <f t="shared" si="219"/>
        <v>300.43068</v>
      </c>
      <c r="X136" s="66">
        <f t="shared" si="219"/>
        <v>1158.5077200000001</v>
      </c>
      <c r="Y136" s="66">
        <f t="shared" si="219"/>
        <v>2317.0154400000001</v>
      </c>
      <c r="Z136" s="130">
        <f t="shared" si="219"/>
        <v>0</v>
      </c>
      <c r="AA136" s="130">
        <f t="shared" si="219"/>
        <v>867.05813901588795</v>
      </c>
      <c r="AB136" s="130">
        <f t="shared" si="219"/>
        <v>0</v>
      </c>
      <c r="AC136" s="130">
        <f t="shared" si="219"/>
        <v>0</v>
      </c>
      <c r="AD136" s="130">
        <f t="shared" si="219"/>
        <v>539.12647119355154</v>
      </c>
      <c r="AE136" s="130">
        <f t="shared" si="219"/>
        <v>0</v>
      </c>
      <c r="AF136" s="130" t="e">
        <f t="shared" si="219"/>
        <v>#VALUE!</v>
      </c>
      <c r="AG136" s="130">
        <f t="shared" si="219"/>
        <v>0</v>
      </c>
      <c r="AH136" s="130" t="e">
        <f t="shared" si="219"/>
        <v>#REF!</v>
      </c>
      <c r="AI136" s="130" t="e">
        <f t="shared" si="219"/>
        <v>#REF!</v>
      </c>
      <c r="AJ136" t="e">
        <f>IF(#REF!&lt;AL126,AM126,IF(#REF!&lt;AL127,AM127,IF(#REF!&lt;AL128,AM128,IF(#REF!&lt;AL129,AM129,IF(#REF!&lt;AL130,AM130,IF(#REF!&lt;AL131,AM131,IF(#REF!&lt;AL132,AM132,IF(#REF!&lt;AL133,AM133,AM134))))))))</f>
        <v>#REF!</v>
      </c>
      <c r="AK136" s="141"/>
      <c r="AL136" s="131">
        <v>205843</v>
      </c>
      <c r="AM136" s="137">
        <v>0.53300000000000003</v>
      </c>
      <c r="AN136" s="139">
        <v>0.33510000000000001</v>
      </c>
      <c r="AO136" s="139">
        <v>0.46879999999999999</v>
      </c>
      <c r="AP136" s="13"/>
      <c r="AQ136" s="13"/>
      <c r="AR136" s="97"/>
      <c r="AS136" s="114"/>
      <c r="AT136" s="114"/>
      <c r="AU136" s="115">
        <f>AR135+AM136*(U132-AK136)</f>
        <v>24030.710080000001</v>
      </c>
      <c r="AV136" s="115">
        <f>AR135+AM136*(V132-AK136)</f>
        <v>123779.78392</v>
      </c>
      <c r="AW136" s="115">
        <f>AR135+AM136*(W132-AK136)</f>
        <v>27323.712000000003</v>
      </c>
      <c r="AX136" s="43">
        <f>AR135+AM136*(X132-AK136)</f>
        <v>120486.78200000001</v>
      </c>
      <c r="AY136" s="115">
        <f>AR135+AM136*(Y132-AK136)</f>
        <v>121586.894</v>
      </c>
      <c r="AZ136" s="115">
        <f>AR135+AM136*(Z132-AK136)</f>
        <v>0</v>
      </c>
      <c r="BA136" s="115">
        <f>AR135+AM136*(AA132-AK136)</f>
        <v>21454.479370963069</v>
      </c>
      <c r="BB136" s="43">
        <f>AR135+AM136*(AB132-AK136)</f>
        <v>0</v>
      </c>
      <c r="BC136" s="43">
        <f>AR135+AM136*(AC132-AK136)</f>
        <v>21320</v>
      </c>
      <c r="BD136" s="43">
        <f>AR135+AM136*(AD132-AK136)</f>
        <v>763.54042215234142</v>
      </c>
      <c r="BE136" s="43">
        <f>AR135+AM136*(AE132-AK136)</f>
        <v>21320</v>
      </c>
      <c r="BF136" s="43" t="e">
        <f>AR135+AM136*(AF132-AK136)</f>
        <v>#VALUE!</v>
      </c>
      <c r="BG136" s="43">
        <f>AR135+AM136*(AG132-AK136)</f>
        <v>119386.67000000001</v>
      </c>
      <c r="BH136" s="43">
        <f>AR135+AM136*(AH132-AK136)</f>
        <v>0</v>
      </c>
      <c r="BI136" s="43">
        <f>AR135+AM136*(AI132-AK136)</f>
        <v>21320</v>
      </c>
      <c r="BJ136" s="115">
        <f>S126*AO136</f>
        <v>0</v>
      </c>
      <c r="BK136" s="115">
        <f>T126*AO136</f>
        <v>0</v>
      </c>
      <c r="BL136" s="115">
        <f>U126*AO136</f>
        <v>0</v>
      </c>
      <c r="BM136" s="115">
        <f>V126*AO136</f>
        <v>0</v>
      </c>
      <c r="BN136" s="115">
        <f>W126*AO136</f>
        <v>0</v>
      </c>
      <c r="BO136" s="115">
        <f>X126*AO136</f>
        <v>0</v>
      </c>
      <c r="BP136" s="43">
        <f>Y126*AO136</f>
        <v>0</v>
      </c>
      <c r="BQ136" s="43">
        <f>Z126*AO136</f>
        <v>46880</v>
      </c>
      <c r="BR136" s="43">
        <f>AA126*AO136</f>
        <v>0</v>
      </c>
      <c r="BS136" s="43">
        <f>AB126*AO136</f>
        <v>46880</v>
      </c>
      <c r="BT136" s="43">
        <f>AC126*AO136</f>
        <v>0</v>
      </c>
      <c r="BU136" s="43">
        <f>AD126*AO136</f>
        <v>46880</v>
      </c>
      <c r="BV136" s="43">
        <f>AE126*AO136</f>
        <v>0</v>
      </c>
      <c r="BW136" s="43">
        <f>AF126*AO136</f>
        <v>0</v>
      </c>
      <c r="BX136" s="43">
        <f>AG126*AO136</f>
        <v>161267.20000000001</v>
      </c>
      <c r="BY136" s="43" t="e">
        <f>AH126*AO136</f>
        <v>#REF!</v>
      </c>
      <c r="BZ136" s="43" t="e">
        <f>AI126*AO136</f>
        <v>#REF!</v>
      </c>
      <c r="CA136" s="44">
        <f>AN136*S128</f>
        <v>0</v>
      </c>
      <c r="CB136" s="44">
        <f>AN136*T128</f>
        <v>0</v>
      </c>
      <c r="CC136" s="44">
        <f>AN136*U128</f>
        <v>2317.0154400000001</v>
      </c>
      <c r="CD136" s="44">
        <f>AN136*V128</f>
        <v>0</v>
      </c>
      <c r="CE136" s="44">
        <f>AN136*W128</f>
        <v>1158.5077200000001</v>
      </c>
      <c r="CF136" s="44">
        <f>AN136*X128</f>
        <v>1158.5077200000001</v>
      </c>
      <c r="CG136" s="44">
        <f>AN136*Y128</f>
        <v>2317.0154400000001</v>
      </c>
      <c r="CH136" s="44">
        <f>AN136*Z128</f>
        <v>0</v>
      </c>
      <c r="CI136" s="44">
        <f>AN136*AA128</f>
        <v>3343.5118801406679</v>
      </c>
      <c r="CJ136" s="44">
        <f>AN136*AB128</f>
        <v>0</v>
      </c>
      <c r="CK136" s="44">
        <f>AN136*AC128</f>
        <v>0</v>
      </c>
      <c r="CL136" s="44">
        <f>AN136*AD128</f>
        <v>969.73312129339308</v>
      </c>
      <c r="CM136" s="44">
        <f>AN136*AE128</f>
        <v>0</v>
      </c>
      <c r="CN136" s="44">
        <f>AN136*AF128</f>
        <v>0</v>
      </c>
      <c r="CO136" s="44">
        <f>AN136*AG128</f>
        <v>0</v>
      </c>
      <c r="CP136" s="44">
        <f>AN136*AH128</f>
        <v>0</v>
      </c>
      <c r="CQ136" s="44">
        <f>AN136*AI128</f>
        <v>1.443016825015507E-2</v>
      </c>
    </row>
    <row r="137" spans="6:116" ht="15.75" hidden="1" x14ac:dyDescent="0.25">
      <c r="F137">
        <v>18</v>
      </c>
      <c r="G137" s="140">
        <f>G136+G136*(G15+G16+G17-Q136-H20)</f>
        <v>383107.61654937419</v>
      </c>
      <c r="H137" s="140">
        <f>G137*G16</f>
        <v>7700.4630926424206</v>
      </c>
      <c r="I137" s="140">
        <f>G137*G17</f>
        <v>4597.2913985924906</v>
      </c>
      <c r="J137" s="140">
        <f>G137*G15</f>
        <v>19155.380827468711</v>
      </c>
      <c r="K137" s="117">
        <f>(G6*G10)/G137</f>
        <v>5.387520140137949E-2</v>
      </c>
      <c r="L137" s="130">
        <f>(H137+I137-C17+C16)</f>
        <v>236287.7544912349</v>
      </c>
      <c r="M137" s="117">
        <f>IF(M87&lt;100,0,IF(L137&gt;M25,O26,IF(L137&gt;M24,O25,IF(L137&gt;M23,O24,IF(L137&gt;M22,O23,IF(L137&gt;M21,O22,IF(L137&gt;M20,O21,IF(L137&gt;M19,O20,IF(L137&gt;M18,O19,IF(L137&gt;M17,O18,IF(L137&gt;M16,O17,O16)))))))))))</f>
        <v>0.39340000000000003</v>
      </c>
      <c r="N137" s="117">
        <f t="shared" si="185"/>
        <v>7.9073400000000005E-3</v>
      </c>
      <c r="O137" s="117">
        <f>(IF(L137&gt;M25,N26,IF(L137&gt;M24,N25,IF(L137&gt;M23,N24,IF(L137&gt;M22,N23,IF(L137&gt;M21,N22,IF(L137&gt;M20,N21,IF(L137&gt;M19,N20,IF(L137&gt;M18,N19,IF(L137&gt;M17,N18,IF(L137&gt;M16,N17,N16))))))))))*I137)/G137</f>
        <v>6.4236000000000007E-3</v>
      </c>
      <c r="P137" s="117">
        <f t="shared" si="187"/>
        <v>1.433094E-2</v>
      </c>
      <c r="Q137" s="261">
        <f t="shared" si="188"/>
        <v>6.8206141401379483E-2</v>
      </c>
      <c r="R137" s="3" t="s">
        <v>73</v>
      </c>
      <c r="S137" s="135"/>
      <c r="T137" s="97">
        <f>S138-T138</f>
        <v>-77308.21560000001</v>
      </c>
      <c r="U137" s="85">
        <f>U138-S138</f>
        <v>-852.28820799999812</v>
      </c>
      <c r="V137" s="85">
        <f>V138-T138</f>
        <v>4393.1139200000034</v>
      </c>
      <c r="W137" s="85">
        <f>W138-S138</f>
        <v>1029.4354799999983</v>
      </c>
      <c r="X137" s="85">
        <f>X138-T138</f>
        <v>2258.6197200000024</v>
      </c>
      <c r="Y137" s="85">
        <f>Y138-T138</f>
        <v>4517.2394400000048</v>
      </c>
      <c r="Z137" s="142">
        <f t="shared" ref="Z137:AE137" si="220">Z138-W138</f>
        <v>9428.9221200000029</v>
      </c>
      <c r="AA137" s="142">
        <f t="shared" si="220"/>
        <v>-81860.102520901273</v>
      </c>
      <c r="AB137" s="142">
        <f t="shared" si="220"/>
        <v>-71367.097440000012</v>
      </c>
      <c r="AC137" s="142">
        <f t="shared" si="220"/>
        <v>-13257.7762</v>
      </c>
      <c r="AD137" s="142">
        <f t="shared" si="220"/>
        <v>13899.864569466634</v>
      </c>
      <c r="AE137" s="142">
        <f t="shared" si="220"/>
        <v>-13257.7762</v>
      </c>
      <c r="AF137" s="85" t="e">
        <f>AF138-S138</f>
        <v>#VALUE!</v>
      </c>
      <c r="AG137" s="85">
        <f>AG138-T138</f>
        <v>161267.20000000001</v>
      </c>
      <c r="AH137" s="85" t="e">
        <f>AH138-U138</f>
        <v>#REF!</v>
      </c>
      <c r="AI137" s="85" t="e">
        <f>AI138-V138</f>
        <v>#REF!</v>
      </c>
      <c r="AJ137" t="s">
        <v>51</v>
      </c>
      <c r="AL137" s="131">
        <v>205843</v>
      </c>
      <c r="AM137" s="137">
        <v>0.53300000000000003</v>
      </c>
      <c r="AN137" s="139">
        <v>0.33510000000000001</v>
      </c>
      <c r="AO137" s="139">
        <v>0.46879999999999999</v>
      </c>
      <c r="AP137" s="143"/>
      <c r="AQ137" s="143"/>
      <c r="AR137" s="143"/>
      <c r="AS137" s="143"/>
      <c r="AT137" s="144"/>
      <c r="AU137" s="144"/>
      <c r="AV137" s="144"/>
      <c r="AW137" s="144"/>
      <c r="AX137" s="144"/>
      <c r="AY137" s="144"/>
      <c r="AZ137" s="144"/>
      <c r="BA137" s="144"/>
      <c r="BB137" s="144"/>
      <c r="BC137" s="144"/>
      <c r="BD137" s="144"/>
      <c r="BE137" s="144"/>
      <c r="BF137" s="144"/>
      <c r="BG137" s="144"/>
      <c r="BH137" s="144"/>
      <c r="BI137" s="144"/>
      <c r="BJ137" s="144"/>
      <c r="BK137" s="144"/>
      <c r="BL137" s="144"/>
      <c r="BM137" s="144"/>
      <c r="BN137" s="144"/>
      <c r="BO137" s="144"/>
      <c r="BP137" s="144"/>
      <c r="BQ137" s="144"/>
      <c r="BR137" s="144"/>
      <c r="BS137" s="144"/>
      <c r="BT137" s="144"/>
      <c r="BU137" s="144"/>
      <c r="BV137" s="144"/>
      <c r="BW137" s="144"/>
      <c r="BX137" s="144"/>
      <c r="BY137" s="144"/>
      <c r="BZ137" s="144"/>
      <c r="CA137" s="44">
        <f>IF(S133&lt;AL126,CA126,IF(S133&lt;AL127,CA127,IF(S133&lt;AL128,CA128,IF(S133&lt;AL129,CA129,IF(S133&lt;AL130,CA130,IF(S133&lt;AL131,CA131,IF(S133&lt;AL132,CA132,IF(S133&lt;AL133,CA133,CA134))))))))</f>
        <v>0</v>
      </c>
      <c r="CB137" s="44">
        <f>IF(T133&lt;AL126,CB126,IF(T133&lt;AL127,CB127,IF(T133&lt;AL128,CB128,IF(T133&lt;AL129,CB129,IF(T133&lt;AL130,CB130,IF(T133&lt;AL131,CB131,IF(T133&lt;AL132,CB132,IF(T133&lt;AL133,CB133,CB134))))))))</f>
        <v>0</v>
      </c>
      <c r="CC137" s="44">
        <f>IF(U133&lt;AL126,CC126,IF(U133&lt;AL127,CC127,IF(U133&lt;AL128,CC128,IF(U133&lt;AL129,CC129,IF(U133&lt;AL130,CC130,IF(U133&lt;AL131,CC131,IF(U133&lt;AL132,CC132,IF(U133&lt;AL133,CC133,CC134))))))))</f>
        <v>600.86135999999999</v>
      </c>
      <c r="CD137" s="44">
        <f>IF(V133&lt;AL126,CD126,IF(V133&lt;AL127,CD127,IF(V133&lt;AL128,CD128,IF(V133&lt;AL129,CD129,IF(V133&lt;AL130,CD130,IF(V133&lt;AL131,CD131,IF(V133&lt;AL132,CD132,IF(V133&lt;AL133,CD133,CD134))))))))</f>
        <v>0</v>
      </c>
      <c r="CE137" s="44">
        <f>IF(W133&lt;AL126,CE126,IF(W133&lt;AL127,CE127,IF(W133&lt;AL128,CE128,IF(W133&lt;AL129,CE129,IF(W133&lt;AL130,CE130,IF(W133&lt;AL131,CE131,IF(W133&lt;AL132,CE132,IF(W133&lt;AL133,CE133,CE134))))))))</f>
        <v>300.43068</v>
      </c>
      <c r="CF137" s="44">
        <f>IF(X133&lt;AL126,CF126,IF(X133&lt;AL127,CF127,IF(X133&lt;AL128,CF128,IF(X133&lt;AL129,CF129,IF(X133&lt;AL130,CF130,IF(X133&lt;AL131,CF131,IF(X133&lt;AL132,CF132,IF(X133&lt;AL133,CF133,CF134))))))))</f>
        <v>1158.5077200000001</v>
      </c>
      <c r="CG137" s="44">
        <f>IF(Y133&lt;AL126,CG126,IF(Y133&lt;AL127,CG127,IF(Y133&lt;AL128,CG128,IF(Y133&lt;AL129,CG129,IF(Y133&lt;AL130,CG130,IF(Y133&lt;AL131,CG131,IF(Y133&lt;AL132,CG132,IF(Y133&lt;AL133,CG133,CG134))))))))</f>
        <v>2317.0154400000001</v>
      </c>
      <c r="CH137" s="44">
        <f>IF(Z133&lt;AL126,CH126,IF(Z133&lt;AL127,CH127,IF(Z133&lt;AL128,CH128,IF(Z133&lt;AL129,CH129,IF(Z133&lt;AL130,CH130,IF(Z133&lt;AL131,CH131,IF(Z133&lt;AL132,CH132,IF(Z133&lt;AL133,CH133,CH134))))))))</f>
        <v>0</v>
      </c>
      <c r="CI137" s="44">
        <f>IF(AA133&lt;AL126,CI126,IF(AA133&lt;AL127,CI127,IF(AA133&lt;AL128,CI128,IF(AA133&lt;AL129,CI129,IF(AA133&lt;AL130,CI130,IF(AA133&lt;AL131,CI131,IF(AA133&lt;AL132,CI132,IF(AA133&lt;AL133,CI133,CI134))))))))</f>
        <v>867.05813901588795</v>
      </c>
      <c r="CJ137" s="44">
        <f>IF(AB133&lt;AL126,CJ126,IF(AB133&lt;AL127,CJ127,IF(AB133&lt;AL128,CJ128,IF(AB133&lt;AL129,CJ129,IF(AB133&lt;AL130,CJ130,IF(AB133&lt;AL131,CJ131,IF(AB133&lt;AL132,CJ132,IF(AB133&lt;AL133,CJ133,CJ134))))))))</f>
        <v>0</v>
      </c>
      <c r="CK137" s="44">
        <f>IF(AC133&lt;AL126,CK126,IF(AC133&lt;AL127,CK127,IF(AC133&lt;AL128,CK128,IF(AC133&lt;AL129,CK129,IF(AC133&lt;AL130,CK130,IF(AC133&lt;AL131,CK131,IF(AC133&lt;AL132,CK132,IF(AC133&lt;AL133,CK133,CK134))))))))</f>
        <v>0</v>
      </c>
      <c r="CL137" s="44">
        <f>IF(AD133&lt;AL126,CL126,IF(AD133&lt;AL127,CL127,IF(AD133&lt;AL128,CL128,IF(AD133&lt;AL129,CL129,IF(AD133&lt;AL130,CL130,IF(AD133&lt;AL131,CL131,IF(AD133&lt;AL132,CL132,IF(AD133&lt;AL133,CL133,CL134))))))))</f>
        <v>539.12647119355154</v>
      </c>
      <c r="CM137" s="44">
        <f>IF(AE133&lt;AL126,CM126,IF(AE133&lt;AL127,CM127,IF(AE133&lt;AL128,CM128,IF(AE133&lt;AL129,CM129,IF(AE133&lt;AL130,CM130,IF(AE133&lt;AL131,CM131,IF(AE133&lt;AL132,CM132,IF(AE133&lt;AL133,CM133,CM134))))))))</f>
        <v>0</v>
      </c>
      <c r="CN137" s="44" t="e">
        <f>IF(AF133&lt;AL126,CN126,IF(AF133&lt;AL127,CN127,IF(AF133&lt;AL128,CN128,IF(AF133&lt;AL129,CN129,IF(AF133&lt;AL130,CN130,IF(AF133&lt;AL131,CN131,IF(AF133&lt;AL132,CN132,IF(AF133&lt;AL133,CN133,CN134))))))))</f>
        <v>#VALUE!</v>
      </c>
      <c r="CO137" s="44">
        <f>IF(AG133&lt;AL126,CO126,IF(AG133&lt;AL127,CO127,IF(AG133&lt;AL128,CO128,IF(AG133&lt;AL129,CO129,IF(AG133&lt;AL130,CO130,IF(AG133&lt;AL131,CO131,IF(AG133&lt;AL132,CO132,IF(AG133&lt;AL133,CO133,CO134))))))))</f>
        <v>0</v>
      </c>
      <c r="CP137" s="44" t="e">
        <f>IF(AH133&lt;AL126,CP126,IF(AH133&lt;AL127,CP127,IF(AH133&lt;AL128,CP128,IF(AH133&lt;AL129,CP129,IF(AH133&lt;AL130,CP130,IF(AH133&lt;AL131,CP131,IF(AH133&lt;AL132,CP132,IF(AH133&lt;AL133,CP133,CP134))))))))</f>
        <v>#REF!</v>
      </c>
      <c r="CQ137" s="44" t="e">
        <f>IF(AI133&lt;AL126,CQ126,IF(AI133&lt;AL127,CQ127,IF(AI133&lt;AL128,CQ128,IF(AI133&lt;AL129,CQ129,IF(AI133&lt;AL130,CQ130,IF(AI133&lt;AL131,CQ131,IF(AI133&lt;AL132,CQ132,IF(AI133&lt;AL133,CQ133,CQ134))))))))</f>
        <v>#REF!</v>
      </c>
    </row>
    <row r="138" spans="6:116" hidden="1" x14ac:dyDescent="0.25">
      <c r="F138">
        <v>19</v>
      </c>
      <c r="G138" s="140">
        <f>G137+G137*(G15+G16+G17-Q137-H20)</f>
        <v>380768.30727077823</v>
      </c>
      <c r="H138" s="140">
        <f>G138*G16</f>
        <v>7653.4429761426427</v>
      </c>
      <c r="I138" s="140">
        <f>G138*G17</f>
        <v>4569.2196872493387</v>
      </c>
      <c r="J138" s="140">
        <f>G138*G15</f>
        <v>19038.415363538912</v>
      </c>
      <c r="K138" s="117">
        <f>(G6*G10)/G138</f>
        <v>5.42061920750199E-2</v>
      </c>
      <c r="L138" s="130">
        <f>(H138+I138-C17+C16)</f>
        <v>236212.66266339197</v>
      </c>
      <c r="M138" s="117">
        <f>IF(M87&lt;100,0,IF(L138&gt;M25,O26,IF(L138&gt;M24,O25,IF(L138&gt;M23,O24,IF(L138&gt;M22,O23,IF(L138&gt;M21,O22,IF(L138&gt;M20,O21,IF(L138&gt;M19,O20,IF(L138&gt;M18,O19,IF(L138&gt;M17,O18,IF(L138&gt;M16,O17,O16)))))))))))</f>
        <v>0.39340000000000003</v>
      </c>
      <c r="N138" s="117">
        <f t="shared" si="185"/>
        <v>7.9073400000000005E-3</v>
      </c>
      <c r="O138" s="117">
        <f>(IF(L138&gt;M25,N26,IF(L138&gt;M24,N25,IF(L138&gt;M23,N24,IF(L138&gt;M22,N23,IF(L138&gt;M21,N22,IF(L138&gt;M20,N21,IF(L138&gt;M19,N20,IF(L138&gt;M18,N19,IF(L138&gt;M17,N18,IF(L138&gt;M16,N17,N16))))))))))*I138)/G138</f>
        <v>6.4235999999999998E-3</v>
      </c>
      <c r="P138" s="117">
        <f t="shared" si="187"/>
        <v>1.433094E-2</v>
      </c>
      <c r="Q138" s="261">
        <f t="shared" si="188"/>
        <v>6.8537132075019894E-2</v>
      </c>
      <c r="R138" s="3" t="s">
        <v>53</v>
      </c>
      <c r="S138" s="72">
        <f t="shared" ref="S138:AI138" si="221">IF(S134+S135+S136-CV126-CV127&lt;0,0,S134+S135+S136-CV126-CV127)</f>
        <v>9968.3325999999997</v>
      </c>
      <c r="T138" s="72">
        <f t="shared" si="221"/>
        <v>87276.548200000005</v>
      </c>
      <c r="U138" s="72">
        <f t="shared" si="221"/>
        <v>9116.0443920000016</v>
      </c>
      <c r="V138" s="72">
        <f t="shared" si="221"/>
        <v>91669.662120000008</v>
      </c>
      <c r="W138" s="72">
        <f t="shared" si="221"/>
        <v>10997.768079999998</v>
      </c>
      <c r="X138" s="72">
        <f t="shared" si="221"/>
        <v>89535.167920000007</v>
      </c>
      <c r="Y138" s="72">
        <f t="shared" si="221"/>
        <v>91793.78764000001</v>
      </c>
      <c r="Z138" s="72">
        <f t="shared" si="221"/>
        <v>20426.690200000001</v>
      </c>
      <c r="AA138" s="72">
        <f t="shared" si="221"/>
        <v>7675.0653990987294</v>
      </c>
      <c r="AB138" s="72">
        <f t="shared" si="221"/>
        <v>20426.690200000001</v>
      </c>
      <c r="AC138" s="72">
        <f t="shared" si="221"/>
        <v>7168.9139999999998</v>
      </c>
      <c r="AD138" s="72">
        <f t="shared" si="221"/>
        <v>21574.929968565364</v>
      </c>
      <c r="AE138" s="72">
        <f t="shared" si="221"/>
        <v>7168.9139999999998</v>
      </c>
      <c r="AF138" s="72" t="e">
        <f t="shared" si="221"/>
        <v>#VALUE!</v>
      </c>
      <c r="AG138" s="72">
        <f t="shared" si="221"/>
        <v>248543.7482</v>
      </c>
      <c r="AH138" s="72" t="e">
        <f t="shared" si="221"/>
        <v>#REF!</v>
      </c>
      <c r="AI138" s="72" t="e">
        <f t="shared" si="221"/>
        <v>#REF!</v>
      </c>
      <c r="AJ138" s="130">
        <f>IF((T138-S138-2250)&lt;26010,(T138-S138-2250),26010)</f>
        <v>26010</v>
      </c>
    </row>
    <row r="139" spans="6:116" ht="15" hidden="1" customHeight="1" x14ac:dyDescent="0.25">
      <c r="F139">
        <v>20</v>
      </c>
      <c r="G139" s="140">
        <f>G138+G138*(G15+G16+G17-Q138-H20)</f>
        <v>378317.2513868945</v>
      </c>
      <c r="H139" s="140">
        <f>G139*G16</f>
        <v>7604.1767528765795</v>
      </c>
      <c r="I139" s="140">
        <f>G139*G17</f>
        <v>4539.8070166427342</v>
      </c>
      <c r="J139" s="140">
        <f>G139*G15</f>
        <v>18915.862569344725</v>
      </c>
      <c r="K139" s="117">
        <f>(G6*G10)/G139</f>
        <v>5.455738516902061E-2</v>
      </c>
      <c r="L139" s="130">
        <f>(H139+I139-C17+C16)</f>
        <v>236133.98376951931</v>
      </c>
      <c r="M139" s="117">
        <f>IF(M87&lt;100,0,IF(L139&gt;M25,O26,IF(L139&gt;M24,O25,IF(L139&gt;M23,O24,IF(L139&gt;M22,O23,IF(L139&gt;M21,O22,IF(L139&gt;M20,O21,IF(L139&gt;M19,O20,IF(L139&gt;M18,O19,IF(L139&gt;M17,O18,IF(L139&gt;M16,O17,O16)))))))))))</f>
        <v>0.39340000000000003</v>
      </c>
      <c r="N139" s="117">
        <f t="shared" si="185"/>
        <v>7.9073400000000005E-3</v>
      </c>
      <c r="O139" s="117">
        <f>(IF(L139&gt;M25,N26,IF(L139&gt;M24,N25,IF(L139&gt;M23,N24,IF(L139&gt;M22,N23,IF(L139&gt;M21,N22,IF(L139&gt;M20,N21,IF(L139&gt;M19,N20,IF(L139&gt;M18,N19,IF(L139&gt;M17,N18,IF(L139&gt;M16,N17,N16))))))))))*I139)/G139</f>
        <v>6.4236000000000007E-3</v>
      </c>
      <c r="P139" s="117">
        <f t="shared" si="187"/>
        <v>1.433094E-2</v>
      </c>
      <c r="Q139" s="261">
        <f>K139+N139+O139</f>
        <v>6.8888325169020603E-2</v>
      </c>
      <c r="R139" s="7" t="s">
        <v>90</v>
      </c>
      <c r="S139" t="s">
        <v>55</v>
      </c>
      <c r="T139" t="s">
        <v>56</v>
      </c>
      <c r="U139" t="s">
        <v>55</v>
      </c>
      <c r="V139" t="s">
        <v>56</v>
      </c>
      <c r="W139" t="s">
        <v>55</v>
      </c>
      <c r="X139" t="s">
        <v>56</v>
      </c>
      <c r="Y139" t="s">
        <v>56</v>
      </c>
      <c r="Z139" t="s">
        <v>56</v>
      </c>
      <c r="AA139" t="s">
        <v>56</v>
      </c>
      <c r="AB139" t="s">
        <v>56</v>
      </c>
      <c r="AC139" t="s">
        <v>56</v>
      </c>
      <c r="AD139" t="s">
        <v>56</v>
      </c>
      <c r="AE139" t="s">
        <v>56</v>
      </c>
      <c r="AF139" t="s">
        <v>56</v>
      </c>
      <c r="AG139" t="s">
        <v>56</v>
      </c>
      <c r="AH139" t="s">
        <v>56</v>
      </c>
      <c r="AI139" t="s">
        <v>56</v>
      </c>
      <c r="AK139" s="9" t="s">
        <v>91</v>
      </c>
      <c r="AL139" s="10"/>
      <c r="AM139" s="11" t="s">
        <v>6</v>
      </c>
      <c r="AN139" s="9"/>
      <c r="AO139" s="9"/>
      <c r="AQ139" s="12"/>
      <c r="AT139" s="12"/>
      <c r="AU139" s="12"/>
      <c r="AV139" s="12"/>
      <c r="AW139" s="12"/>
      <c r="AX139" s="12"/>
      <c r="AY139" s="12"/>
      <c r="AZ139" s="12"/>
      <c r="BA139" s="12"/>
      <c r="BB139" s="12"/>
      <c r="BC139" s="12"/>
      <c r="BD139" s="12"/>
      <c r="BE139" s="12"/>
      <c r="BF139" s="12"/>
      <c r="BG139" s="12"/>
      <c r="BH139" s="12"/>
      <c r="BI139" s="12"/>
      <c r="BJ139" s="12" t="s">
        <v>9</v>
      </c>
      <c r="BK139" s="12"/>
      <c r="BL139" s="12"/>
      <c r="BM139" s="12"/>
      <c r="BN139" s="12"/>
      <c r="BO139" s="12"/>
      <c r="BP139" s="12"/>
      <c r="BQ139" s="12"/>
      <c r="BR139" s="12"/>
      <c r="BS139" s="12"/>
      <c r="BT139" s="12"/>
      <c r="BU139" s="12"/>
      <c r="BV139" s="12"/>
      <c r="BW139" s="12"/>
      <c r="BX139" s="12"/>
      <c r="BY139" s="12"/>
      <c r="BZ139" s="12"/>
      <c r="CA139" s="12" t="s">
        <v>58</v>
      </c>
      <c r="CB139" s="12"/>
      <c r="CC139" s="12"/>
      <c r="CD139" s="12"/>
      <c r="CE139" s="12"/>
      <c r="CF139" s="12"/>
      <c r="CG139" s="12"/>
      <c r="CH139" s="12"/>
      <c r="CI139" s="12"/>
      <c r="CJ139" s="12"/>
      <c r="CK139" s="12"/>
      <c r="CL139" s="12"/>
      <c r="CM139" s="12"/>
      <c r="CN139" s="12"/>
      <c r="CO139" s="12"/>
      <c r="CP139" s="12"/>
      <c r="CQ139" s="12"/>
      <c r="CR139" s="13"/>
      <c r="CS139" s="13"/>
    </row>
    <row r="140" spans="6:116" ht="15.75" hidden="1" x14ac:dyDescent="0.25">
      <c r="F140">
        <v>21</v>
      </c>
      <c r="G140" s="140">
        <f>G139+G139*(G15+G16+G17-Q139-H20)</f>
        <v>375749.11086743016</v>
      </c>
      <c r="H140" s="140">
        <f>G140*G16</f>
        <v>7552.5571284353464</v>
      </c>
      <c r="I140" s="140">
        <f>G140*G17</f>
        <v>4508.989330409162</v>
      </c>
      <c r="J140" s="140">
        <f>G140*G15</f>
        <v>18787.45554337151</v>
      </c>
      <c r="K140" s="117">
        <f>(G6*G11)/G140</f>
        <v>5.4930269701375545E-2</v>
      </c>
      <c r="L140" s="130">
        <f>(H140+I140-C17+C16)</f>
        <v>236051.5464588445</v>
      </c>
      <c r="M140" s="117">
        <f>IF(M87&lt;100,0,IF(L140&gt;M25,O26,IF(L140&gt;M24,O25,IF(L140&gt;M23,O24,IF(L140&gt;M22,O23,IF(L140&gt;M21,O22,IF(L140&gt;M20,O21,IF(L140&gt;M19,O20,IF(L140&gt;M18,O19,IF(L140&gt;M17,O18,IF(L140&gt;M16,O17,O16)))))))))))</f>
        <v>0.39340000000000003</v>
      </c>
      <c r="N140" s="117">
        <f t="shared" si="185"/>
        <v>7.9073400000000005E-3</v>
      </c>
      <c r="O140" s="117">
        <f>(IF(L140&gt;M25,N26,IF(L140&gt;M24,N25,IF(L140&gt;M23,N24,IF(L140&gt;M22,N23,IF(L140&gt;M21,N22,IF(L140&gt;M20,N21,IF(L140&gt;M19,N20,IF(L140&gt;M18,N19,IF(L140&gt;M17,N18,IF(L140&gt;M16,N17,N16))))))))))*I140)/G140</f>
        <v>6.4235999999999998E-3</v>
      </c>
      <c r="P140" s="117">
        <f t="shared" si="187"/>
        <v>1.433094E-2</v>
      </c>
      <c r="Q140" s="261">
        <f t="shared" si="188"/>
        <v>6.9261209701375545E-2</v>
      </c>
      <c r="R140" s="3" t="s">
        <v>11</v>
      </c>
      <c r="S140" s="97">
        <f t="shared" ref="S140:Z143" si="222">S123</f>
        <v>60000</v>
      </c>
      <c r="T140" s="97">
        <f t="shared" si="222"/>
        <v>250000</v>
      </c>
      <c r="U140" s="97">
        <f t="shared" si="222"/>
        <v>55885.760000000002</v>
      </c>
      <c r="V140" s="97">
        <f t="shared" si="222"/>
        <v>258242.24</v>
      </c>
      <c r="W140" s="97">
        <f t="shared" si="222"/>
        <v>62064</v>
      </c>
      <c r="X140" s="97">
        <f t="shared" si="222"/>
        <v>252064</v>
      </c>
      <c r="Y140" s="97">
        <f t="shared" si="222"/>
        <v>254128</v>
      </c>
      <c r="Z140" s="97">
        <f t="shared" si="222"/>
        <v>0</v>
      </c>
      <c r="AA140" s="97">
        <f t="shared" ref="AA140:AH143" si="223">AA123</f>
        <v>0</v>
      </c>
      <c r="AB140" s="97">
        <f t="shared" si="223"/>
        <v>0</v>
      </c>
      <c r="AC140" s="97">
        <f t="shared" si="223"/>
        <v>0</v>
      </c>
      <c r="AD140" s="97">
        <f t="shared" si="223"/>
        <v>0</v>
      </c>
      <c r="AE140" s="97">
        <f t="shared" si="223"/>
        <v>0</v>
      </c>
      <c r="AF140" s="97">
        <f t="shared" si="223"/>
        <v>0</v>
      </c>
      <c r="AG140" s="97">
        <f t="shared" si="223"/>
        <v>250000</v>
      </c>
      <c r="AH140" s="97">
        <f t="shared" si="223"/>
        <v>0</v>
      </c>
      <c r="AI140" s="97">
        <f t="shared" ref="AI140" si="224">AI123</f>
        <v>0</v>
      </c>
      <c r="AJ140" s="196">
        <f>W154+X154</f>
        <v>3872.3890800000027</v>
      </c>
      <c r="AK140" s="9"/>
      <c r="AL140" s="10"/>
      <c r="AM140" s="98"/>
      <c r="AN140" s="9"/>
      <c r="AO140" s="9"/>
      <c r="AP140" s="99"/>
      <c r="AQ140" s="100" t="s">
        <v>12</v>
      </c>
      <c r="AR140" s="100"/>
      <c r="AS140" s="101" t="s">
        <v>55</v>
      </c>
      <c r="AT140" t="s">
        <v>56</v>
      </c>
      <c r="BJ140" s="16" t="s">
        <v>16</v>
      </c>
      <c r="BK140" s="16"/>
      <c r="BL140" s="16"/>
      <c r="BM140" s="16"/>
      <c r="BN140" s="16"/>
      <c r="BO140" s="16"/>
      <c r="BP140" s="16"/>
      <c r="BQ140" s="16"/>
      <c r="BR140" s="16"/>
      <c r="BS140" s="16"/>
      <c r="BT140" s="16"/>
      <c r="BU140" s="16"/>
      <c r="BV140" s="16"/>
      <c r="BW140" s="16"/>
      <c r="BX140" s="16"/>
      <c r="BY140" s="16"/>
      <c r="BZ140" s="16"/>
      <c r="CA140" t="s">
        <v>16</v>
      </c>
      <c r="CR140" t="s">
        <v>17</v>
      </c>
      <c r="CT140" s="100"/>
      <c r="CU140" s="100"/>
      <c r="CV140" s="100"/>
      <c r="CW140" s="100"/>
    </row>
    <row r="141" spans="6:116" ht="15.75" hidden="1" x14ac:dyDescent="0.25">
      <c r="F141">
        <v>22</v>
      </c>
      <c r="G141" s="140">
        <f>G140+G140*(G15+G16+G17-Q140-H20)</f>
        <v>373058.29268940311</v>
      </c>
      <c r="H141" s="140">
        <f>G141*G16</f>
        <v>7498.4716830570023</v>
      </c>
      <c r="I141" s="140">
        <f>G141*G17</f>
        <v>4476.6995122728376</v>
      </c>
      <c r="J141" s="140">
        <f>G141*G15</f>
        <v>18652.914634470155</v>
      </c>
      <c r="K141" s="117">
        <f>(G6*G11)/G141</f>
        <v>5.5326474185052446E-2</v>
      </c>
      <c r="L141" s="130">
        <f>(H141+I141-C17+C16)</f>
        <v>235965.17119532984</v>
      </c>
      <c r="M141" s="117">
        <f>IF(M87&lt;100,0,IF(L141&gt;M25,O26,IF(L141&gt;M24,O25,IF(L141&gt;M23,O24,IF(L141&gt;M22,O23,IF(L141&gt;M21,O22,IF(L141&gt;M20,O21,IF(L141&gt;M19,O20,IF(L141&gt;M18,O19,IF(L141&gt;M17,O18,IF(L141&gt;M16,O17,O16)))))))))))</f>
        <v>0.39340000000000003</v>
      </c>
      <c r="N141" s="117">
        <f t="shared" si="185"/>
        <v>7.9073400000000005E-3</v>
      </c>
      <c r="O141" s="117">
        <f>(IF(L141&gt;M25,N26,IF(L141&gt;M24,N25,IF(L141&gt;M23,N24,IF(L141&gt;M22,N23,IF(L141&gt;M21,N22,IF(L141&gt;M20,N21,IF(L141&gt;M19,N20,IF(L141&gt;M18,N19,IF(L141&gt;M17,N18,IF(L141&gt;M16,N17,N16))))))))))*I141)/G141</f>
        <v>6.4235999999999998E-3</v>
      </c>
      <c r="P141" s="117">
        <f t="shared" si="187"/>
        <v>1.433094E-2</v>
      </c>
      <c r="Q141" s="261">
        <f t="shared" si="188"/>
        <v>6.9657414185052446E-2</v>
      </c>
      <c r="R141" s="3" t="s">
        <v>18</v>
      </c>
      <c r="S141" s="97">
        <f t="shared" si="222"/>
        <v>10800</v>
      </c>
      <c r="T141" s="97">
        <f t="shared" si="222"/>
        <v>26010</v>
      </c>
      <c r="U141" s="97">
        <f t="shared" si="222"/>
        <v>10800</v>
      </c>
      <c r="V141" s="97">
        <f t="shared" si="222"/>
        <v>26010</v>
      </c>
      <c r="W141" s="97">
        <f t="shared" si="222"/>
        <v>10800</v>
      </c>
      <c r="X141" s="97">
        <f t="shared" si="222"/>
        <v>26010</v>
      </c>
      <c r="Y141" s="97">
        <f t="shared" si="222"/>
        <v>26010</v>
      </c>
      <c r="Z141" s="97">
        <f t="shared" si="222"/>
        <v>0</v>
      </c>
      <c r="AA141" s="97">
        <f t="shared" si="223"/>
        <v>-40000</v>
      </c>
      <c r="AB141" s="97">
        <f t="shared" si="223"/>
        <v>0</v>
      </c>
      <c r="AC141" s="97">
        <f t="shared" si="223"/>
        <v>-40000</v>
      </c>
      <c r="AD141" s="97">
        <f t="shared" si="223"/>
        <v>0</v>
      </c>
      <c r="AE141" s="97">
        <f t="shared" si="223"/>
        <v>-40000</v>
      </c>
      <c r="AF141" s="97">
        <f t="shared" si="223"/>
        <v>-40000</v>
      </c>
      <c r="AG141" s="97">
        <f t="shared" si="223"/>
        <v>26010</v>
      </c>
      <c r="AH141" s="97">
        <f t="shared" si="223"/>
        <v>0</v>
      </c>
      <c r="AI141" s="97">
        <f t="shared" ref="AI141" si="225">AI124</f>
        <v>-40000</v>
      </c>
      <c r="AK141" s="102"/>
      <c r="AL141" s="103"/>
      <c r="AM141" s="104"/>
      <c r="AN141" s="9" t="s">
        <v>92</v>
      </c>
      <c r="AO141" s="9" t="s">
        <v>93</v>
      </c>
      <c r="AP141" s="100" t="s">
        <v>19</v>
      </c>
      <c r="AQ141" s="100" t="s">
        <v>20</v>
      </c>
      <c r="AR141" s="105" t="s">
        <v>21</v>
      </c>
      <c r="AS141" s="106" t="s">
        <v>22</v>
      </c>
      <c r="BJ141" s="16" t="s">
        <v>23</v>
      </c>
      <c r="BK141" s="16"/>
      <c r="BL141" s="16"/>
      <c r="BM141" s="16"/>
      <c r="BN141" s="16"/>
      <c r="BO141" s="16"/>
      <c r="BP141" s="16"/>
      <c r="BQ141" s="16"/>
      <c r="BR141" s="16"/>
      <c r="BS141" s="16"/>
      <c r="BT141" s="16"/>
      <c r="BU141" s="16"/>
      <c r="BV141" s="16"/>
      <c r="BW141" s="16"/>
      <c r="BX141" s="16"/>
      <c r="BY141" s="16"/>
      <c r="BZ141" s="16"/>
      <c r="CA141" t="s">
        <v>22</v>
      </c>
    </row>
    <row r="142" spans="6:116" ht="15.75" hidden="1" x14ac:dyDescent="0.25">
      <c r="F142">
        <v>23</v>
      </c>
      <c r="G142" s="140">
        <f>G141+G141*(G15+G16+G17-Q141-H20)</f>
        <v>370238.93665638077</v>
      </c>
      <c r="H142" s="140">
        <f>G142*G16</f>
        <v>7441.8026267932537</v>
      </c>
      <c r="I142" s="140">
        <f>G142*G17</f>
        <v>4442.8672398765693</v>
      </c>
      <c r="J142" s="140">
        <f>G142*G15</f>
        <v>18511.946832819038</v>
      </c>
      <c r="K142" s="117">
        <f>(G6*G11)/G142</f>
        <v>5.5747783273146147E-2</v>
      </c>
      <c r="L142" s="130">
        <f>(H142+I142-C17+C16)</f>
        <v>235874.66986666984</v>
      </c>
      <c r="M142" s="117">
        <f>IF(M87&lt;100,0,IF(L142&gt;M25,O26,IF(L142&gt;M24,O25,IF(L142&gt;M23,O24,IF(L142&gt;M22,O23,IF(L142&gt;M21,O22,IF(L142&gt;M20,O21,IF(L142&gt;M19,O20,IF(L142&gt;M18,O19,IF(L142&gt;M17,O18,IF(L142&gt;M16,O17,O16)))))))))))</f>
        <v>0.39340000000000003</v>
      </c>
      <c r="N142" s="117">
        <f t="shared" si="185"/>
        <v>7.9073400000000005E-3</v>
      </c>
      <c r="O142" s="117">
        <f>(IF(L142&gt;M25,N26,IF(L142&gt;M24,N25,IF(L142&gt;M23,N24,IF(L142&gt;M22,N23,IF(L142&gt;M21,N22,IF(L142&gt;M20,N21,IF(L142&gt;M19,N20,IF(L142&gt;M18,N19,IF(L142&gt;M17,N18,IF(L142&gt;M16,N17,N16))))))))))*I142)/G142</f>
        <v>6.4235999999999998E-3</v>
      </c>
      <c r="P142" s="117">
        <f t="shared" si="187"/>
        <v>1.433094E-2</v>
      </c>
      <c r="Q142" s="261">
        <f t="shared" si="188"/>
        <v>7.0078723273146154E-2</v>
      </c>
      <c r="R142" s="3"/>
      <c r="S142" s="97">
        <f t="shared" si="222"/>
        <v>0</v>
      </c>
      <c r="T142" s="97">
        <f t="shared" si="222"/>
        <v>0</v>
      </c>
      <c r="U142" s="97">
        <f t="shared" si="222"/>
        <v>0</v>
      </c>
      <c r="V142" s="97">
        <f t="shared" si="222"/>
        <v>0</v>
      </c>
      <c r="W142" s="97">
        <f t="shared" si="222"/>
        <v>0</v>
      </c>
      <c r="X142" s="97">
        <f t="shared" si="222"/>
        <v>0</v>
      </c>
      <c r="Y142" s="97">
        <f t="shared" si="222"/>
        <v>0</v>
      </c>
      <c r="Z142" s="97">
        <f t="shared" si="222"/>
        <v>0</v>
      </c>
      <c r="AA142" s="97">
        <f t="shared" si="223"/>
        <v>0</v>
      </c>
      <c r="AB142" s="97">
        <f t="shared" si="223"/>
        <v>0</v>
      </c>
      <c r="AC142" s="97">
        <f t="shared" si="223"/>
        <v>0</v>
      </c>
      <c r="AD142" s="97">
        <f t="shared" si="223"/>
        <v>0</v>
      </c>
      <c r="AE142" s="97">
        <f t="shared" si="223"/>
        <v>0</v>
      </c>
      <c r="AF142" s="97">
        <f t="shared" si="223"/>
        <v>0</v>
      </c>
      <c r="AG142" s="97">
        <f t="shared" si="223"/>
        <v>0</v>
      </c>
      <c r="AH142" s="97">
        <f t="shared" si="223"/>
        <v>0</v>
      </c>
      <c r="AI142" s="97">
        <f t="shared" ref="AI142" si="226">AI125</f>
        <v>0</v>
      </c>
      <c r="AK142" s="102"/>
      <c r="AL142" s="103"/>
      <c r="AM142" s="108"/>
      <c r="AN142" s="9"/>
      <c r="AO142" s="9"/>
      <c r="AP142" s="100"/>
      <c r="AQ142" s="100"/>
      <c r="AR142" s="105"/>
      <c r="AS142" s="106"/>
      <c r="BJ142" s="16"/>
      <c r="BK142" s="16"/>
      <c r="BL142" s="16"/>
      <c r="BM142" s="16"/>
      <c r="BN142" s="16"/>
      <c r="BO142" s="16"/>
      <c r="BP142" s="16"/>
      <c r="BQ142" s="16"/>
      <c r="BR142" s="16"/>
      <c r="BS142" s="16"/>
      <c r="BT142" s="16"/>
      <c r="BU142" s="16"/>
      <c r="BV142" s="16"/>
      <c r="BW142" s="16"/>
      <c r="BX142" s="16"/>
      <c r="BY142" s="16"/>
      <c r="BZ142" s="16"/>
      <c r="CS142" t="s">
        <v>25</v>
      </c>
      <c r="CT142" t="s">
        <v>26</v>
      </c>
      <c r="CU142" t="s">
        <v>27</v>
      </c>
      <c r="CV142" s="16" t="s">
        <v>28</v>
      </c>
      <c r="CW142" s="16" t="s">
        <v>61</v>
      </c>
      <c r="CX142" s="16" t="s">
        <v>62</v>
      </c>
      <c r="CY142" s="16" t="s">
        <v>63</v>
      </c>
      <c r="CZ142" s="16" t="s">
        <v>64</v>
      </c>
      <c r="DA142" s="16" t="s">
        <v>65</v>
      </c>
      <c r="DB142" s="16" t="s">
        <v>3</v>
      </c>
      <c r="DC142" s="16" t="s">
        <v>4</v>
      </c>
      <c r="DD142" s="16" t="s">
        <v>13</v>
      </c>
      <c r="DE142" s="4" t="s">
        <v>170</v>
      </c>
      <c r="DF142" s="4" t="s">
        <v>171</v>
      </c>
      <c r="DG142" s="4" t="s">
        <v>172</v>
      </c>
      <c r="DH142" s="4" t="s">
        <v>174</v>
      </c>
      <c r="DI142" s="4" t="s">
        <v>176</v>
      </c>
      <c r="DJ142" s="4" t="s">
        <v>192</v>
      </c>
      <c r="DK142" s="4" t="s">
        <v>196</v>
      </c>
      <c r="DL142" s="4" t="s">
        <v>198</v>
      </c>
    </row>
    <row r="143" spans="6:116" ht="15.75" hidden="1" x14ac:dyDescent="0.25">
      <c r="F143">
        <v>24</v>
      </c>
      <c r="G143" s="140">
        <f>G142+G142*(G15+G16+G17-Q142-H20)</f>
        <v>367284.9026358556</v>
      </c>
      <c r="H143" s="140">
        <f>G143*G16</f>
        <v>7382.4265429806974</v>
      </c>
      <c r="I143" s="140">
        <f>G143*G17</f>
        <v>4407.4188316302671</v>
      </c>
      <c r="J143" s="140">
        <f>G143*G15</f>
        <v>18364.245131792781</v>
      </c>
      <c r="K143" s="117">
        <f>(G6*G11)/G143</f>
        <v>5.6196156857728281E-2</v>
      </c>
      <c r="L143" s="130">
        <f>(H143+I143-C17+C16)</f>
        <v>235779.84537461097</v>
      </c>
      <c r="M143" s="117">
        <f>IF(M87&lt;100,0,IF(L143&gt;M25,O26,IF(L143&gt;M24,O25,IF(L143&gt;M23,O24,IF(L143&gt;M22,O23,IF(L143&gt;M21,O22,IF(L143&gt;M20,O21,IF(L143&gt;M19,O20,IF(L143&gt;M18,O19,IF(L143&gt;M17,O18,IF(L143&gt;M16,O17,O16)))))))))))</f>
        <v>0.39340000000000003</v>
      </c>
      <c r="N143" s="117">
        <f t="shared" si="185"/>
        <v>7.9073400000000005E-3</v>
      </c>
      <c r="O143" s="117">
        <f>(IF(L143&gt;M25,N26,IF(L143&gt;M24,N25,IF(L143&gt;M23,N24,IF(L143&gt;M22,N23,IF(L143&gt;M21,N22,IF(L143&gt;M20,N21,IF(L143&gt;M19,N20,IF(L143&gt;M18,N19,IF(L143&gt;M17,N18,IF(L143&gt;M16,N17,N16))))))))))*I143)/G143</f>
        <v>6.4235999999999998E-3</v>
      </c>
      <c r="P143" s="117">
        <f t="shared" si="187"/>
        <v>1.433094E-2</v>
      </c>
      <c r="Q143" s="261">
        <f t="shared" si="188"/>
        <v>7.0527096857728289E-2</v>
      </c>
      <c r="R143" s="3" t="s">
        <v>31</v>
      </c>
      <c r="S143" s="97">
        <f t="shared" si="222"/>
        <v>0</v>
      </c>
      <c r="T143" s="97">
        <f t="shared" si="222"/>
        <v>0</v>
      </c>
      <c r="U143" s="97">
        <f t="shared" si="222"/>
        <v>0</v>
      </c>
      <c r="V143" s="97">
        <f t="shared" si="222"/>
        <v>0</v>
      </c>
      <c r="W143" s="97">
        <f t="shared" si="222"/>
        <v>0</v>
      </c>
      <c r="X143" s="97">
        <f t="shared" si="222"/>
        <v>0</v>
      </c>
      <c r="Y143" s="97">
        <f t="shared" si="222"/>
        <v>0</v>
      </c>
      <c r="Z143" s="97">
        <f t="shared" si="222"/>
        <v>100000</v>
      </c>
      <c r="AA143" s="97">
        <f t="shared" si="223"/>
        <v>0</v>
      </c>
      <c r="AB143" s="97">
        <f t="shared" si="223"/>
        <v>100000</v>
      </c>
      <c r="AC143" s="97">
        <f t="shared" si="223"/>
        <v>0</v>
      </c>
      <c r="AD143" s="97">
        <f t="shared" si="223"/>
        <v>100000</v>
      </c>
      <c r="AE143" s="97">
        <f t="shared" si="223"/>
        <v>0</v>
      </c>
      <c r="AF143" s="97">
        <f t="shared" si="223"/>
        <v>0</v>
      </c>
      <c r="AG143" s="97">
        <f t="shared" si="223"/>
        <v>344000</v>
      </c>
      <c r="AH143" s="97" t="e">
        <f t="shared" si="223"/>
        <v>#REF!</v>
      </c>
      <c r="AI143" s="97" t="e">
        <f t="shared" ref="AI143" si="227">AI126</f>
        <v>#REF!</v>
      </c>
      <c r="AK143" s="110">
        <v>0</v>
      </c>
      <c r="AL143" s="110">
        <v>25000</v>
      </c>
      <c r="AM143" s="111">
        <v>0.2379</v>
      </c>
      <c r="AN143" s="113">
        <v>-1.1000000000000001E-3</v>
      </c>
      <c r="AO143" s="113">
        <v>0.123</v>
      </c>
      <c r="AP143" s="13">
        <f t="shared" ref="AP143:AP152" si="228">AL143-AK143</f>
        <v>25000</v>
      </c>
      <c r="AQ143" s="13">
        <f t="shared" ref="AQ143:AQ152" si="229">AP143*AM143</f>
        <v>5947.5</v>
      </c>
      <c r="AR143" s="97">
        <f>AQ143</f>
        <v>5947.5</v>
      </c>
      <c r="AS143" s="114">
        <f>S149*AM143</f>
        <v>11704.68</v>
      </c>
      <c r="AT143" s="114">
        <f>T149*AM143</f>
        <v>53287.220999999998</v>
      </c>
      <c r="AU143" s="115">
        <f>U149*AM143</f>
        <v>10725.902304000001</v>
      </c>
      <c r="AV143" s="115">
        <f>V149*AM143</f>
        <v>55248.049895999997</v>
      </c>
      <c r="AW143" s="115">
        <f>W149*AM143</f>
        <v>12195.705599999999</v>
      </c>
      <c r="AX143" s="43">
        <f>X149*AM143</f>
        <v>53778.246599999999</v>
      </c>
      <c r="AY143" s="115">
        <f>Y149*AM143</f>
        <v>54269.272199999999</v>
      </c>
      <c r="AZ143" s="115">
        <f>Z149*AM143</f>
        <v>0</v>
      </c>
      <c r="BA143" s="115">
        <f>AA149*AM143</f>
        <v>9576.0237192347358</v>
      </c>
      <c r="BB143" s="43">
        <f>AB149*AM143</f>
        <v>0</v>
      </c>
      <c r="BC143" s="43">
        <f>AC149*AM143</f>
        <v>9516</v>
      </c>
      <c r="BD143" s="43">
        <f>AD149*AM143</f>
        <v>340.79974939970356</v>
      </c>
      <c r="BE143" s="43">
        <f>AE149*AM143</f>
        <v>9516</v>
      </c>
      <c r="BF143" s="43" t="e">
        <f>AF149*AM143</f>
        <v>#VALUE!</v>
      </c>
      <c r="BG143" s="43">
        <f>AG149*AM143</f>
        <v>53287.220999999998</v>
      </c>
      <c r="BH143" s="43">
        <f>AH149*AM143</f>
        <v>0</v>
      </c>
      <c r="BI143" s="43">
        <f>AI149*AM143</f>
        <v>9516</v>
      </c>
      <c r="BJ143" s="115">
        <f>S143*AO143</f>
        <v>0</v>
      </c>
      <c r="BK143" s="147">
        <f>T143*AO143</f>
        <v>0</v>
      </c>
      <c r="BL143" s="115">
        <f>U143*AO143</f>
        <v>0</v>
      </c>
      <c r="BM143" s="115">
        <f>V143*AO143</f>
        <v>0</v>
      </c>
      <c r="BN143" s="115">
        <f>W143*AO143</f>
        <v>0</v>
      </c>
      <c r="BO143" s="115">
        <f>X143*AO143</f>
        <v>0</v>
      </c>
      <c r="BP143" s="43">
        <f>Y143*AO143</f>
        <v>0</v>
      </c>
      <c r="BQ143" s="43">
        <f>Z143*AO143</f>
        <v>12300</v>
      </c>
      <c r="BR143" s="43">
        <f>AA143*AO143</f>
        <v>0</v>
      </c>
      <c r="BS143" s="43">
        <f>AB143*AO143</f>
        <v>12300</v>
      </c>
      <c r="BT143" s="43">
        <f>AC143*AO143</f>
        <v>0</v>
      </c>
      <c r="BU143" s="43">
        <f>AD143*AO143</f>
        <v>12300</v>
      </c>
      <c r="BV143" s="43">
        <f>AE143*AO143</f>
        <v>0</v>
      </c>
      <c r="BW143" s="43">
        <f>AF143*AO143</f>
        <v>0</v>
      </c>
      <c r="BX143" s="43">
        <f>AG143*AO143</f>
        <v>42312</v>
      </c>
      <c r="BY143" s="43" t="e">
        <f>AH143*AO143</f>
        <v>#REF!</v>
      </c>
      <c r="BZ143" s="43" t="e">
        <f>AI143*AO143</f>
        <v>#REF!</v>
      </c>
      <c r="CA143" s="44">
        <f>AN143*S145</f>
        <v>0</v>
      </c>
      <c r="CB143" s="44">
        <f>AN143*T145</f>
        <v>0</v>
      </c>
      <c r="CC143" s="44">
        <f>AN143*U145</f>
        <v>-7.6058399999999997</v>
      </c>
      <c r="CD143" s="44">
        <f>AN143*V145</f>
        <v>0</v>
      </c>
      <c r="CE143" s="44">
        <f>AN143*W145</f>
        <v>-3.8029199999999999</v>
      </c>
      <c r="CF143" s="44">
        <f>AN143*X145</f>
        <v>-3.8029199999999999</v>
      </c>
      <c r="CG143" s="44">
        <f>AN143*Y145</f>
        <v>-7.6058399999999997</v>
      </c>
      <c r="CH143" s="44">
        <f>AN143*Z145</f>
        <v>0</v>
      </c>
      <c r="CI143" s="44">
        <f>AN143*AA145</f>
        <v>-10.975419481213772</v>
      </c>
      <c r="CJ143" s="44">
        <f>AN143*AB145</f>
        <v>0</v>
      </c>
      <c r="CK143" s="44">
        <f>AN143*AC145</f>
        <v>0</v>
      </c>
      <c r="CL143" s="44">
        <f>AN143*AD145</f>
        <v>-3.183248085415495</v>
      </c>
      <c r="CM143" s="44">
        <f>AN143*AE145</f>
        <v>0</v>
      </c>
      <c r="CN143" s="44">
        <f>AN143*AF145</f>
        <v>0</v>
      </c>
      <c r="CO143" s="44">
        <f>AN143*AG145</f>
        <v>0</v>
      </c>
      <c r="CP143" s="44">
        <f>AN143*AH145</f>
        <v>0</v>
      </c>
      <c r="CQ143" s="44">
        <f>AN143*AI145</f>
        <v>-4.7368502164042307E-5</v>
      </c>
      <c r="CR143" t="s">
        <v>32</v>
      </c>
      <c r="CS143">
        <v>11635</v>
      </c>
      <c r="CT143" s="117">
        <v>0.15</v>
      </c>
      <c r="CU143">
        <f>CT143*CS143</f>
        <v>1745.25</v>
      </c>
      <c r="CV143" s="16">
        <f>IF(S150&gt;CS143,CU143,CU143-(CS143-S150)*CT143)</f>
        <v>1745.25</v>
      </c>
      <c r="CW143" s="16">
        <f>IF(T150&gt;CS143,CU143,CU143-(CS143-T150)*CT143)</f>
        <v>1745.25</v>
      </c>
      <c r="CX143" s="16">
        <f>IF(U150&gt;CS143,CU143,CU143-(CS143-U150)*CT143)</f>
        <v>1745.25</v>
      </c>
      <c r="CY143" s="16">
        <f>IF(V150&gt;CS143,CU143,CU143-(CS143-V150)*CT143)</f>
        <v>1745.25</v>
      </c>
      <c r="CZ143" s="16">
        <f>IF(W150&gt;CS143,CU143,CU143-(CS143-W150)*CT143)</f>
        <v>1745.25</v>
      </c>
      <c r="DA143" s="16">
        <f>IF(X150&gt;CS143,CU143,CU143-(CS143-X150)*CT143)</f>
        <v>1745.25</v>
      </c>
      <c r="DB143" s="16">
        <f>IF(Y150&gt;CS143,CU143,CU143-(CS143-Y150)*CT143)</f>
        <v>1745.25</v>
      </c>
      <c r="DC143" s="16">
        <f>IF(Z150&gt;CS143,CU143,CU143-(CS143-Z150)*CT143)</f>
        <v>1745.25</v>
      </c>
      <c r="DD143" s="16">
        <f>IF(AA150&gt;CS143,CU143,CU143-(CS143-AA150)*CT143)</f>
        <v>1745.25</v>
      </c>
      <c r="DE143" s="219">
        <f>IF(AB150&gt;CS143,CU143,CU143-(CS143-AB150)*CT143)</f>
        <v>1745.25</v>
      </c>
      <c r="DF143" s="219">
        <f>IF(AC150&gt;CS143,CU143,CU143-(CS143-AC150)*CT143)</f>
        <v>1745.25</v>
      </c>
      <c r="DG143" s="219">
        <f>IF(AD150&gt;CS143,CU143,CU143-(CS143-AD150)*CT143)</f>
        <v>1745.25</v>
      </c>
      <c r="DH143" s="219">
        <f>IF(AE150&gt;CS143,CU143,CU143-(CS143-AE150)*CT143)</f>
        <v>1745.25</v>
      </c>
      <c r="DI143" s="219" t="e">
        <f>IF(AF150&gt;CS143,CU143,CU143-(CS143-AF150)*CT143)</f>
        <v>#VALUE!</v>
      </c>
      <c r="DJ143" s="219">
        <f>IF(AG150&gt;CS143,CU143,CU143-(CS143-AG150)*CT143)</f>
        <v>1745.25</v>
      </c>
      <c r="DK143" s="219" t="e">
        <f>IF(AH150&gt;CS143,CU143,CU143-(CS143-AH150)*CT143)</f>
        <v>#REF!</v>
      </c>
      <c r="DL143" s="219" t="e">
        <f>IF(AI150&gt;CS143,CU143,CU143-(CS143-AI150)*CT143)</f>
        <v>#REF!</v>
      </c>
    </row>
    <row r="144" spans="6:116" ht="15.75" hidden="1" x14ac:dyDescent="0.25">
      <c r="F144">
        <v>25</v>
      </c>
      <c r="G144" s="140">
        <f>G143+G143*(G15+G16+G17-Q143-H20)</f>
        <v>364189.75718696194</v>
      </c>
      <c r="H144" s="140">
        <f>G144*G16</f>
        <v>7320.2141194579353</v>
      </c>
      <c r="I144" s="140">
        <f>G144*G17</f>
        <v>4370.2770862435436</v>
      </c>
      <c r="J144" s="140">
        <f>G144*G15</f>
        <v>18209.487859348097</v>
      </c>
      <c r="K144" s="117">
        <f>(G6*G11)/G144</f>
        <v>5.6673752055591629E-2</v>
      </c>
      <c r="L144" s="130">
        <f>(H144+I144-C17+C16)</f>
        <v>235680.49120570149</v>
      </c>
      <c r="M144" s="117">
        <f>IF(M87&lt;100,0,IF(L144&gt;M25,O26,IF(L144&gt;M24,O25,IF(L144&gt;M23,O24,IF(L144&gt;M22,O23,IF(L144&gt;M21,O22,IF(L144&gt;M20,O21,IF(L144&gt;M19,O20,IF(L144&gt;M18,O19,IF(L144&gt;M17,O18,IF(L144&gt;M16,O17,O16)))))))))))</f>
        <v>0.39340000000000003</v>
      </c>
      <c r="N144" s="117">
        <f t="shared" si="185"/>
        <v>7.9073400000000005E-3</v>
      </c>
      <c r="O144" s="117">
        <f>(IF(L144&gt;M25,N26,IF(L144&gt;M24,N25,IF(L144&gt;M23,N24,IF(L144&gt;M22,N23,IF(L144&gt;M21,N22,IF(L144&gt;M20,N21,IF(L144&gt;M19,N20,IF(L144&gt;M18,N19,IF(L144&gt;M17,N18,IF(L144&gt;M16,N17,N16))))))))))*I144)/G144</f>
        <v>6.4236000000000007E-3</v>
      </c>
      <c r="P144" s="117">
        <f t="shared" si="187"/>
        <v>1.433094E-2</v>
      </c>
      <c r="Q144" s="261">
        <f t="shared" si="188"/>
        <v>7.1004692055591637E-2</v>
      </c>
      <c r="R144" s="3" t="s">
        <v>35</v>
      </c>
      <c r="S144" s="97">
        <f t="shared" ref="S144:Z144" si="230">1.16*S143</f>
        <v>0</v>
      </c>
      <c r="T144" s="97">
        <f t="shared" si="230"/>
        <v>0</v>
      </c>
      <c r="U144" s="97">
        <f t="shared" si="230"/>
        <v>0</v>
      </c>
      <c r="V144" s="97">
        <f t="shared" si="230"/>
        <v>0</v>
      </c>
      <c r="W144" s="97">
        <f t="shared" si="230"/>
        <v>0</v>
      </c>
      <c r="X144" s="97">
        <f t="shared" si="230"/>
        <v>0</v>
      </c>
      <c r="Y144" s="97">
        <f t="shared" si="230"/>
        <v>0</v>
      </c>
      <c r="Z144" s="97">
        <f t="shared" si="230"/>
        <v>115999.99999999999</v>
      </c>
      <c r="AA144" s="97">
        <f t="shared" ref="AA144:AH144" si="231">1.16*AA143</f>
        <v>0</v>
      </c>
      <c r="AB144" s="97">
        <f t="shared" si="231"/>
        <v>115999.99999999999</v>
      </c>
      <c r="AC144" s="97">
        <f t="shared" si="231"/>
        <v>0</v>
      </c>
      <c r="AD144" s="97">
        <f t="shared" si="231"/>
        <v>115999.99999999999</v>
      </c>
      <c r="AE144" s="97">
        <f t="shared" si="231"/>
        <v>0</v>
      </c>
      <c r="AF144" s="97">
        <f t="shared" si="231"/>
        <v>0</v>
      </c>
      <c r="AG144" s="97">
        <f t="shared" si="231"/>
        <v>399040</v>
      </c>
      <c r="AH144" s="97" t="e">
        <f t="shared" si="231"/>
        <v>#REF!</v>
      </c>
      <c r="AI144" s="97" t="e">
        <f t="shared" ref="AI144" si="232">1.16*AI143</f>
        <v>#REF!</v>
      </c>
      <c r="AK144" s="118">
        <f>AL143+1</f>
        <v>25001</v>
      </c>
      <c r="AL144" s="119">
        <v>29590</v>
      </c>
      <c r="AM144" s="120">
        <v>0.2432</v>
      </c>
      <c r="AN144" s="122">
        <v>6.1999999999999998E-3</v>
      </c>
      <c r="AO144" s="122">
        <v>0.12909999999999999</v>
      </c>
      <c r="AP144" s="13">
        <f t="shared" si="228"/>
        <v>4589</v>
      </c>
      <c r="AQ144" s="13">
        <f t="shared" si="229"/>
        <v>1116.0447999999999</v>
      </c>
      <c r="AR144" s="97">
        <f>AR143+AQ144</f>
        <v>7063.5447999999997</v>
      </c>
      <c r="AS144" s="114">
        <f>AR143+AM144*(S149-AK144)</f>
        <v>11832.6968</v>
      </c>
      <c r="AT144" s="114">
        <f>AR143+AM144*(T149-AK144)</f>
        <v>54341.624799999998</v>
      </c>
      <c r="AU144" s="115">
        <f>AR143+AM144*(U149-AK144)</f>
        <v>10832.113632000001</v>
      </c>
      <c r="AV144" s="115">
        <f>AR143+AM144*(V149-AK144)</f>
        <v>56346.137567999998</v>
      </c>
      <c r="AW144" s="115">
        <f>AR143+AM144*(W149-AK144)</f>
        <v>12334.661599999999</v>
      </c>
      <c r="AX144" s="43">
        <f>AR143+AM144*(X149-AK144)</f>
        <v>54843.589599999999</v>
      </c>
      <c r="AY144" s="115">
        <f>AR143+AM144*(Y149-AK144)</f>
        <v>55345.554400000001</v>
      </c>
      <c r="AZ144" s="115">
        <f>AR143+AM144*(Z149-AK144)</f>
        <v>-132.74319999999989</v>
      </c>
      <c r="BA144" s="115">
        <f>AR143+AM144*(AA149-AK144)</f>
        <v>9656.6177437490023</v>
      </c>
      <c r="BB144" s="43">
        <f>AR143+AM144*(AB149-AK144)</f>
        <v>-132.74319999999989</v>
      </c>
      <c r="BC144" s="43">
        <f>AR143+AM144*(AC149-AK144)</f>
        <v>9595.2567999999992</v>
      </c>
      <c r="BD144" s="43">
        <f>AR143+AM144*(AD149-AK144)</f>
        <v>215.64897761247539</v>
      </c>
      <c r="BE144" s="43">
        <f>AR143+AM144*(AE149-AK144)</f>
        <v>9595.2567999999992</v>
      </c>
      <c r="BF144" s="43" t="e">
        <f>AR143+AM144*(AF149-AK144)</f>
        <v>#VALUE!</v>
      </c>
      <c r="BG144" s="43">
        <f>AR143+AM144*(AG149-AK144)</f>
        <v>54341.624799999998</v>
      </c>
      <c r="BH144" s="43">
        <f>AR143+AM144*(AH149-AK144)</f>
        <v>-132.74319999999989</v>
      </c>
      <c r="BI144" s="43">
        <f>AR143+AM144*(AI149-AK144)</f>
        <v>9595.2567999999992</v>
      </c>
      <c r="BJ144" s="115">
        <f>S143*AO144</f>
        <v>0</v>
      </c>
      <c r="BK144" s="115">
        <f>T143*AO144</f>
        <v>0</v>
      </c>
      <c r="BL144" s="115">
        <f>U143*AO144</f>
        <v>0</v>
      </c>
      <c r="BM144" s="115">
        <f>V143*AO144</f>
        <v>0</v>
      </c>
      <c r="BN144" s="115">
        <f>W143*AO144</f>
        <v>0</v>
      </c>
      <c r="BO144" s="115">
        <f>X143*AO144</f>
        <v>0</v>
      </c>
      <c r="BP144" s="43">
        <f>Y143*AO144</f>
        <v>0</v>
      </c>
      <c r="BQ144" s="43">
        <f>Z143*AO144</f>
        <v>12910</v>
      </c>
      <c r="BR144" s="43">
        <f>AA143*AO144</f>
        <v>0</v>
      </c>
      <c r="BS144" s="43">
        <f>AB143*AO144</f>
        <v>12910</v>
      </c>
      <c r="BT144" s="43">
        <f>AC143*AO144</f>
        <v>0</v>
      </c>
      <c r="BU144" s="43">
        <f>AD143*AO144</f>
        <v>12910</v>
      </c>
      <c r="BV144" s="43">
        <f>AE143*AO144</f>
        <v>0</v>
      </c>
      <c r="BW144" s="43">
        <f>AF143*AO144</f>
        <v>0</v>
      </c>
      <c r="BX144" s="43">
        <f>AG143*AO144</f>
        <v>44410.399999999994</v>
      </c>
      <c r="BY144" s="43" t="e">
        <f>AH143*AO144</f>
        <v>#REF!</v>
      </c>
      <c r="BZ144" s="43" t="e">
        <f>AI143*AO144</f>
        <v>#REF!</v>
      </c>
      <c r="CA144" s="44">
        <f>AN144*S145</f>
        <v>0</v>
      </c>
      <c r="CB144" s="44">
        <f>AN144*T145</f>
        <v>0</v>
      </c>
      <c r="CC144" s="44">
        <f>AN144*U145</f>
        <v>42.869279999999996</v>
      </c>
      <c r="CD144" s="44">
        <f>AN144*V145</f>
        <v>0</v>
      </c>
      <c r="CE144" s="44">
        <f>AN144*W145</f>
        <v>21.434639999999998</v>
      </c>
      <c r="CF144" s="44">
        <f>AN144*X145</f>
        <v>21.434639999999998</v>
      </c>
      <c r="CG144" s="44">
        <f>AN144*Y145</f>
        <v>42.869279999999996</v>
      </c>
      <c r="CH144" s="44">
        <f>AN144*Z145</f>
        <v>0</v>
      </c>
      <c r="CI144" s="44">
        <f>AN144*AA145</f>
        <v>61.861455257750343</v>
      </c>
      <c r="CJ144" s="44">
        <f>AN144*AB145</f>
        <v>0</v>
      </c>
      <c r="CK144" s="44">
        <f>AN144*AC145</f>
        <v>0</v>
      </c>
      <c r="CL144" s="44">
        <f>AN144*AD145</f>
        <v>17.941943754160061</v>
      </c>
      <c r="CM144" s="44">
        <f>AN144*AE145</f>
        <v>0</v>
      </c>
      <c r="CN144" s="44">
        <f>AN144*AF145</f>
        <v>0</v>
      </c>
      <c r="CO144" s="44">
        <f>AN144*AG145</f>
        <v>0</v>
      </c>
      <c r="CP144" s="44">
        <f>AN144*AH145</f>
        <v>0</v>
      </c>
      <c r="CQ144" s="44">
        <f>AN144*AI145</f>
        <v>2.6698610310642025E-4</v>
      </c>
      <c r="CR144" t="s">
        <v>36</v>
      </c>
      <c r="CS144">
        <v>8481</v>
      </c>
      <c r="CT144" s="117">
        <v>8.7900000000000006E-2</v>
      </c>
      <c r="CU144">
        <f>CT144*CS144</f>
        <v>745.47990000000004</v>
      </c>
      <c r="CV144" s="16">
        <f>IF(S150&gt;CS144,CU144,CU144-(CS144-S150)*CT144)</f>
        <v>745.47990000000004</v>
      </c>
      <c r="CW144" s="16">
        <f>IF(T150&gt;CS144,CU144,CU144-(CS144-T150)*CT144)</f>
        <v>745.47990000000004</v>
      </c>
      <c r="CX144" s="16">
        <f>IF(U150&gt;CS144,CU144,CU144-(CS144-U150)*CT144)</f>
        <v>745.47990000000004</v>
      </c>
      <c r="CY144" s="16">
        <f>IF(V150&gt;CS144,CU144,CU144-(CS144-V150)*CT144)</f>
        <v>745.47990000000004</v>
      </c>
      <c r="CZ144" s="16">
        <f>IF(W150&gt;CS144,CU144,CU144-(CS144-W150)*CT144)</f>
        <v>745.47990000000004</v>
      </c>
      <c r="DA144" s="16">
        <f>IF(X150&gt;CS144,CU144,CU144-(CS144-X150)*CT144)</f>
        <v>745.47990000000004</v>
      </c>
      <c r="DB144" s="16">
        <f>IF(Y150&gt;CS144,CU144,CU144-(CS144-Y150)*CT144)</f>
        <v>745.47990000000004</v>
      </c>
      <c r="DC144" s="16">
        <f>IF(Z150&gt;CS144,CU144,CU144-(CS144-Z150)*CT144)</f>
        <v>745.47990000000004</v>
      </c>
      <c r="DD144" s="16">
        <f>IF(AA150&gt;CS144,CU144,CU144-(CS144-AA150)*CT144)</f>
        <v>745.47990000000004</v>
      </c>
      <c r="DE144" s="219">
        <f>IF(AB150&gt;CS144,CU144,CU144-(CS144-AB150)*CT144)</f>
        <v>745.47990000000004</v>
      </c>
      <c r="DF144" s="219">
        <f>IF(AC150&gt;CS144,CU144,CU144-(CS144-AC150)*CT144)</f>
        <v>745.47990000000004</v>
      </c>
      <c r="DG144" s="219">
        <f>IF(AD150&gt;CS144,CU144,CU144-(CS144-AD150)*CT144)</f>
        <v>745.47990000000004</v>
      </c>
      <c r="DH144" s="219">
        <f>IF(AE150&gt;CS144,CU144,CU144-(CS144-AE150)*CT144)</f>
        <v>745.47990000000004</v>
      </c>
      <c r="DI144" s="219" t="e">
        <f>IF(AF150&gt;CS144,CU144,CU144-(CS144-AF150)*CT144)</f>
        <v>#VALUE!</v>
      </c>
      <c r="DJ144" s="219">
        <f>IF(AG150&gt;CS144,CU144,CU144-(CS144-AG150)*CT144)</f>
        <v>745.47990000000004</v>
      </c>
      <c r="DK144" s="219" t="e">
        <f>IF(AH150&gt;CS144,CU144,CU144-(CS144-AH150)*CT144)</f>
        <v>#REF!</v>
      </c>
      <c r="DL144" s="219" t="e">
        <f>IF(AI150&gt;CS144,CU144,CU144-(CS144-AI150)*CT144)</f>
        <v>#REF!</v>
      </c>
    </row>
    <row r="145" spans="6:116" ht="15.75" hidden="1" x14ac:dyDescent="0.25">
      <c r="F145">
        <v>26</v>
      </c>
      <c r="G145" s="140">
        <f>G144+G144*(G15+G16+G17-Q144-H20)</f>
        <v>360946.75954941136</v>
      </c>
      <c r="H145" s="140">
        <f>G145*G16</f>
        <v>7255.0298669431686</v>
      </c>
      <c r="I145" s="140">
        <f>G145*G17</f>
        <v>4331.3611145929362</v>
      </c>
      <c r="J145" s="140">
        <f>G145*G15</f>
        <v>18047.337977470568</v>
      </c>
      <c r="K145" s="117">
        <f>(G6*G11)/G145</f>
        <v>5.718294860373864E-2</v>
      </c>
      <c r="L145" s="130">
        <f>(H145+I145-C17+C16)</f>
        <v>235576.3909815361</v>
      </c>
      <c r="M145" s="117">
        <f>IF(M87&lt;100,0,IF(L145&gt;M25,O26,IF(L145&gt;M24,O25,IF(L145&gt;M23,O24,IF(L145&gt;M22,O23,IF(L145&gt;M21,O22,IF(L145&gt;M20,O21,IF(L145&gt;M19,O20,IF(L145&gt;M18,O19,IF(L145&gt;M17,O18,IF(L145&gt;M16,O17,O16)))))))))))</f>
        <v>0.39340000000000003</v>
      </c>
      <c r="N145" s="117">
        <f t="shared" si="185"/>
        <v>7.9073400000000005E-3</v>
      </c>
      <c r="O145" s="117">
        <f>(IF(L145&gt;M25,N26,IF(L145&gt;M24,N25,IF(L145&gt;M23,N24,IF(L145&gt;M22,N23,IF(L145&gt;M21,N22,IF(L145&gt;M20,N21,IF(L145&gt;M19,N20,IF(L145&gt;M18,N19,IF(L145&gt;M17,N18,IF(L145&gt;M16,N17,N16))))))))))*I145)/G145</f>
        <v>6.4235999999999989E-3</v>
      </c>
      <c r="P145" s="117">
        <f t="shared" si="187"/>
        <v>1.433094E-2</v>
      </c>
      <c r="Q145" s="261">
        <f t="shared" si="188"/>
        <v>7.151388860373864E-2</v>
      </c>
      <c r="R145" s="3" t="s">
        <v>38</v>
      </c>
      <c r="S145" s="97">
        <f t="shared" ref="S145:Z145" si="233">S128</f>
        <v>0</v>
      </c>
      <c r="T145" s="97">
        <f t="shared" si="233"/>
        <v>0</v>
      </c>
      <c r="U145" s="97">
        <f t="shared" si="233"/>
        <v>6914.4</v>
      </c>
      <c r="V145" s="97">
        <f t="shared" si="233"/>
        <v>0</v>
      </c>
      <c r="W145" s="97">
        <f t="shared" si="233"/>
        <v>3457.2</v>
      </c>
      <c r="X145" s="97">
        <f t="shared" si="233"/>
        <v>3457.2</v>
      </c>
      <c r="Y145" s="97">
        <f t="shared" si="233"/>
        <v>6914.4</v>
      </c>
      <c r="Z145" s="97">
        <f t="shared" si="233"/>
        <v>0</v>
      </c>
      <c r="AA145" s="97">
        <f t="shared" ref="AA145:AH145" si="234">AA128</f>
        <v>9977.6540738307012</v>
      </c>
      <c r="AB145" s="97">
        <f t="shared" si="234"/>
        <v>0</v>
      </c>
      <c r="AC145" s="97">
        <f t="shared" si="234"/>
        <v>0</v>
      </c>
      <c r="AD145" s="97">
        <f t="shared" si="234"/>
        <v>2893.8618958322681</v>
      </c>
      <c r="AE145" s="97">
        <f t="shared" si="234"/>
        <v>0</v>
      </c>
      <c r="AF145" s="97">
        <f t="shared" si="234"/>
        <v>0</v>
      </c>
      <c r="AG145" s="97">
        <f t="shared" si="234"/>
        <v>0</v>
      </c>
      <c r="AH145" s="97">
        <f t="shared" si="234"/>
        <v>0</v>
      </c>
      <c r="AI145" s="97">
        <f t="shared" ref="AI145" si="235">AI128</f>
        <v>4.3062274694583916E-2</v>
      </c>
      <c r="AK145" s="67">
        <f t="shared" ref="AK145:AK151" si="236">AL144+1</f>
        <v>29591</v>
      </c>
      <c r="AL145" s="123">
        <v>46605</v>
      </c>
      <c r="AM145" s="111">
        <v>0.30480000000000002</v>
      </c>
      <c r="AN145" s="113">
        <v>9.1200000000000003E-2</v>
      </c>
      <c r="AO145" s="113">
        <v>0.2006</v>
      </c>
      <c r="AP145" s="13">
        <f t="shared" si="228"/>
        <v>17014</v>
      </c>
      <c r="AQ145" s="13">
        <f t="shared" si="229"/>
        <v>5185.8672000000006</v>
      </c>
      <c r="AR145" s="97">
        <f t="shared" ref="AR145:AR152" si="237">AR144+AQ145</f>
        <v>12249.412</v>
      </c>
      <c r="AS145" s="114">
        <f>AR144+AM145*(S149-AK145)</f>
        <v>13040.368</v>
      </c>
      <c r="AT145" s="114">
        <f>AR144+AM145*(T149-AK145)</f>
        <v>66316.36</v>
      </c>
      <c r="AU145" s="115">
        <f>AR144+AM145*(U149-AK145)</f>
        <v>11786.347648000001</v>
      </c>
      <c r="AV145" s="115">
        <f>AR144+AM145*(V149-AK145)</f>
        <v>68828.594752000005</v>
      </c>
      <c r="AW145" s="115">
        <f>AR144+AM145*(W149-AK145)</f>
        <v>13669.475200000001</v>
      </c>
      <c r="AX145" s="43">
        <f>AS144+AM145*(X149-AK145)</f>
        <v>71714.619200000001</v>
      </c>
      <c r="AY145" s="115">
        <f>AR144+AM145*(Y149-AK145)</f>
        <v>67574.574399999998</v>
      </c>
      <c r="AZ145" s="115">
        <f>AR144+AM145*(Z149-AK145)</f>
        <v>-1955.7920000000013</v>
      </c>
      <c r="BA145" s="115">
        <f>AR144+AM145*(AA149-AK145)</f>
        <v>10313.111024895954</v>
      </c>
      <c r="BB145" s="43">
        <f>AR144+AM145*(AB149-AK145)</f>
        <v>-1955.7920000000013</v>
      </c>
      <c r="BC145" s="43">
        <f>AR144+AM145*(AC149-AK145)</f>
        <v>10236.207999999999</v>
      </c>
      <c r="BD145" s="43">
        <f>AR144+AM145*(AD149-AK145)</f>
        <v>-1519.1557510843668</v>
      </c>
      <c r="BE145" s="43">
        <f>AR144+AM145*(AE149-AK145)</f>
        <v>10236.207999999999</v>
      </c>
      <c r="BF145" s="43" t="e">
        <f>AR144+AM145*(AF149-AK145)</f>
        <v>#VALUE!</v>
      </c>
      <c r="BG145" s="43">
        <f>AR144+AM145*(AG149-AK145)</f>
        <v>66316.36</v>
      </c>
      <c r="BH145" s="43">
        <f>AR144+AM145*(AH149-AK145)</f>
        <v>-1955.7920000000013</v>
      </c>
      <c r="BI145" s="43">
        <f>AR144+AM145*(AI149-AK145)</f>
        <v>10236.207999999999</v>
      </c>
      <c r="BJ145" s="115">
        <f>S143*AO145</f>
        <v>0</v>
      </c>
      <c r="BK145" s="147">
        <f>T143*AO145</f>
        <v>0</v>
      </c>
      <c r="BL145" s="115">
        <f>U143*AO145</f>
        <v>0</v>
      </c>
      <c r="BM145" s="115">
        <f>V143*AO145</f>
        <v>0</v>
      </c>
      <c r="BN145" s="115">
        <f>W143*AO145</f>
        <v>0</v>
      </c>
      <c r="BO145" s="115">
        <f>X143*AO145</f>
        <v>0</v>
      </c>
      <c r="BP145" s="43">
        <f>Y143*AO145</f>
        <v>0</v>
      </c>
      <c r="BQ145" s="43">
        <f>Z143*AO145</f>
        <v>20060</v>
      </c>
      <c r="BR145" s="43">
        <f>AA143*AO145</f>
        <v>0</v>
      </c>
      <c r="BS145" s="43">
        <f>AB143*AO145</f>
        <v>20060</v>
      </c>
      <c r="BT145" s="43">
        <f>AC143*AO145</f>
        <v>0</v>
      </c>
      <c r="BU145" s="43">
        <f>AD143*AO145</f>
        <v>20060</v>
      </c>
      <c r="BV145" s="43">
        <f>AE143*AO145</f>
        <v>0</v>
      </c>
      <c r="BW145" s="43">
        <f>AF143*AO145</f>
        <v>0</v>
      </c>
      <c r="BX145" s="43">
        <f>AG143*AO145</f>
        <v>69006.399999999994</v>
      </c>
      <c r="BY145" s="43" t="e">
        <f>AH143*AO145</f>
        <v>#REF!</v>
      </c>
      <c r="BZ145" s="43" t="e">
        <f>AI143*AO145</f>
        <v>#REF!</v>
      </c>
      <c r="CA145" s="44">
        <f>AN145*S145</f>
        <v>0</v>
      </c>
      <c r="CB145" s="44">
        <f>AN145*T145</f>
        <v>0</v>
      </c>
      <c r="CC145" s="44">
        <f>AN145*U145</f>
        <v>630.59327999999994</v>
      </c>
      <c r="CD145" s="44">
        <f>AN145*V145</f>
        <v>0</v>
      </c>
      <c r="CE145" s="44">
        <f>AN145*W145</f>
        <v>315.29663999999997</v>
      </c>
      <c r="CF145" s="44">
        <f>AN145*X145</f>
        <v>315.29663999999997</v>
      </c>
      <c r="CG145" s="44">
        <f>AN145*Y145</f>
        <v>630.59327999999994</v>
      </c>
      <c r="CH145" s="44">
        <f>AN145*Z145</f>
        <v>0</v>
      </c>
      <c r="CI145" s="44">
        <f>AN145*AA145</f>
        <v>909.96205153335995</v>
      </c>
      <c r="CJ145" s="44">
        <f>AN145*AB145</f>
        <v>0</v>
      </c>
      <c r="CK145" s="44">
        <f>AN145*AC145</f>
        <v>0</v>
      </c>
      <c r="CL145" s="44">
        <f>AN145*AD145</f>
        <v>263.92020489990284</v>
      </c>
      <c r="CM145" s="44">
        <f>AN145*AE145</f>
        <v>0</v>
      </c>
      <c r="CN145" s="44">
        <f>AN145*AF145</f>
        <v>0</v>
      </c>
      <c r="CO145" s="44">
        <f>AN145*AG145</f>
        <v>0</v>
      </c>
      <c r="CP145" s="44">
        <f>AN145*AH145</f>
        <v>0</v>
      </c>
      <c r="CQ145" s="44">
        <f>AN145*AI145</f>
        <v>3.9272794521460529E-3</v>
      </c>
    </row>
    <row r="146" spans="6:116" ht="15.75" hidden="1" x14ac:dyDescent="0.25">
      <c r="F146" t="s">
        <v>210</v>
      </c>
      <c r="G146" s="130">
        <f>SUM(G120:G145)</f>
        <v>9858001.101017883</v>
      </c>
      <c r="H146">
        <f>SUM(H120:H145)</f>
        <v>198145.82213045939</v>
      </c>
      <c r="I146" s="140">
        <f>SUM(I120:I145)</f>
        <v>118296.01321221459</v>
      </c>
      <c r="J146" s="140">
        <f>SUM(J120:J145)</f>
        <v>492900.05505089404</v>
      </c>
      <c r="K146" s="117">
        <f>SUMPRODUCT(K120:K145,G120:G145)/G146</f>
        <v>4.640405243541372E-2</v>
      </c>
      <c r="L146" s="130">
        <f>SUM(L120:L145)</f>
        <v>6140181.8353426736</v>
      </c>
      <c r="N146" s="117">
        <f>IF(H146=0,0,SUMPRODUCT(N120:N145,H120:H145)/H146)</f>
        <v>7.9073400000000023E-3</v>
      </c>
      <c r="O146" s="117">
        <f>IF(I146=0,0,SUMPRODUCT(O120:O145,I120:I145)/I146)</f>
        <v>6.4235999999999998E-3</v>
      </c>
      <c r="P146" s="117">
        <f t="shared" si="187"/>
        <v>1.4330940000000002E-2</v>
      </c>
      <c r="Q146" s="261">
        <f>SUMPRODUCT(Q120:Q145,G120:G145)/G146</f>
        <v>6.0734992435413721E-2</v>
      </c>
      <c r="R146" s="3" t="s">
        <v>39</v>
      </c>
      <c r="S146" s="97">
        <f t="shared" ref="S146:Z146" si="238">S145*1.38</f>
        <v>0</v>
      </c>
      <c r="T146" s="97">
        <f t="shared" si="238"/>
        <v>0</v>
      </c>
      <c r="U146" s="97">
        <f t="shared" si="238"/>
        <v>9541.8719999999994</v>
      </c>
      <c r="V146" s="97">
        <f t="shared" si="238"/>
        <v>0</v>
      </c>
      <c r="W146" s="97">
        <f t="shared" si="238"/>
        <v>4770.9359999999997</v>
      </c>
      <c r="X146" s="97">
        <f t="shared" si="238"/>
        <v>4770.9359999999997</v>
      </c>
      <c r="Y146" s="97">
        <f t="shared" si="238"/>
        <v>9541.8719999999994</v>
      </c>
      <c r="Z146" s="97">
        <f t="shared" si="238"/>
        <v>0</v>
      </c>
      <c r="AA146" s="97">
        <f t="shared" ref="AA146:AH146" si="239">AA145*1.38</f>
        <v>13769.162621886366</v>
      </c>
      <c r="AB146" s="97">
        <f t="shared" si="239"/>
        <v>0</v>
      </c>
      <c r="AC146" s="97">
        <f t="shared" si="239"/>
        <v>0</v>
      </c>
      <c r="AD146" s="97">
        <f t="shared" si="239"/>
        <v>3993.5294162485297</v>
      </c>
      <c r="AE146" s="97">
        <f t="shared" si="239"/>
        <v>0</v>
      </c>
      <c r="AF146" s="97">
        <f t="shared" si="239"/>
        <v>0</v>
      </c>
      <c r="AG146" s="97">
        <f t="shared" si="239"/>
        <v>0</v>
      </c>
      <c r="AH146" s="97">
        <f t="shared" si="239"/>
        <v>0</v>
      </c>
      <c r="AI146" s="97">
        <f t="shared" ref="AI146" si="240">AI145*1.38</f>
        <v>5.9425939078525801E-2</v>
      </c>
      <c r="AK146" s="118">
        <f t="shared" si="236"/>
        <v>46606</v>
      </c>
      <c r="AL146" s="119">
        <v>59180</v>
      </c>
      <c r="AM146" s="120">
        <v>0.35980000000000001</v>
      </c>
      <c r="AN146" s="122">
        <v>0.1671</v>
      </c>
      <c r="AO146" s="122">
        <v>0.26440000000000002</v>
      </c>
      <c r="AP146" s="13">
        <f t="shared" si="228"/>
        <v>12574</v>
      </c>
      <c r="AQ146" s="13">
        <f t="shared" si="229"/>
        <v>4524.1252000000004</v>
      </c>
      <c r="AR146" s="97">
        <f t="shared" si="237"/>
        <v>16773.537199999999</v>
      </c>
      <c r="AS146" s="114">
        <f>AR145+AM146*(S149-AK146)</f>
        <v>13182.733200000001</v>
      </c>
      <c r="AT146" s="114">
        <f>AR145+AM146*(T149-AK146)</f>
        <v>76072.175199999998</v>
      </c>
      <c r="AU146" s="115">
        <f>AR145+AM146*(U149-AK146)</f>
        <v>11702.429648000001</v>
      </c>
      <c r="AV146" s="115">
        <f>AR145+AM146*(V149-AK146)</f>
        <v>79037.733152000001</v>
      </c>
      <c r="AW146" s="115">
        <f>AR145+AM146*(W149-AK146)</f>
        <v>13925.3604</v>
      </c>
      <c r="AX146" s="43">
        <f>AR145+AM146*(X149-AK146)</f>
        <v>76814.8024</v>
      </c>
      <c r="AY146" s="115">
        <f>AR145+AM146*(Y149-AK146)</f>
        <v>77557.429600000003</v>
      </c>
      <c r="AZ146" s="115">
        <f>AR145+AM146*(Z149-AK146)</f>
        <v>-4519.4268000000011</v>
      </c>
      <c r="BA146" s="115">
        <f>AR145+AM146*(AA149-AK146)</f>
        <v>9963.3530830628752</v>
      </c>
      <c r="BB146" s="43">
        <f>AR145+AM146*(AB149-AK146)</f>
        <v>-4519.4268000000011</v>
      </c>
      <c r="BC146" s="43">
        <f>AR145+AM146*(AC149-AK146)</f>
        <v>9872.5732000000007</v>
      </c>
      <c r="BD146" s="43">
        <f>AR145+AM146*(AD149-AK146)</f>
        <v>-4004.0012017065419</v>
      </c>
      <c r="BE146" s="43">
        <f>AR145+AM146*(AE149-AK146)</f>
        <v>9872.5732000000007</v>
      </c>
      <c r="BF146" s="43" t="e">
        <f>AR145+AM146*(AF149-AK146)</f>
        <v>#VALUE!</v>
      </c>
      <c r="BG146" s="43">
        <f>AR145+AM146*(AG149-AK146)</f>
        <v>76072.175199999998</v>
      </c>
      <c r="BH146" s="43">
        <f>AR145+AM146*(AH149-AK146)</f>
        <v>-4519.4268000000011</v>
      </c>
      <c r="BI146" s="43">
        <f>AR145+AM146*(AI149-AK146)</f>
        <v>9872.5732000000007</v>
      </c>
      <c r="BJ146" s="115">
        <f>S143*AO146</f>
        <v>0</v>
      </c>
      <c r="BK146" s="147">
        <f>T143*AO146</f>
        <v>0</v>
      </c>
      <c r="BL146" s="115">
        <f>U143*AO146</f>
        <v>0</v>
      </c>
      <c r="BM146" s="115">
        <f>V143*AO146</f>
        <v>0</v>
      </c>
      <c r="BN146" s="115">
        <f>W143*AO146</f>
        <v>0</v>
      </c>
      <c r="BO146" s="115">
        <f>X143*AP146</f>
        <v>0</v>
      </c>
      <c r="BP146" s="43">
        <f>Y143*AO146</f>
        <v>0</v>
      </c>
      <c r="BQ146" s="43">
        <f>Z143*AO146</f>
        <v>26440.000000000004</v>
      </c>
      <c r="BR146" s="43">
        <f>AA143*AO146</f>
        <v>0</v>
      </c>
      <c r="BS146" s="43">
        <f>AB143*AO146</f>
        <v>26440.000000000004</v>
      </c>
      <c r="BT146" s="43">
        <f>AC143*AO146</f>
        <v>0</v>
      </c>
      <c r="BU146" s="43">
        <f>AD143*AO146</f>
        <v>26440.000000000004</v>
      </c>
      <c r="BV146" s="43">
        <f>AE143*AO146</f>
        <v>0</v>
      </c>
      <c r="BW146" s="43">
        <f>AF143*AO146</f>
        <v>0</v>
      </c>
      <c r="BX146" s="43">
        <f>AG143*AO146</f>
        <v>90953.600000000006</v>
      </c>
      <c r="BY146" s="43" t="e">
        <f>AH143*AO146</f>
        <v>#REF!</v>
      </c>
      <c r="BZ146" s="43" t="e">
        <f>AI143*AO146</f>
        <v>#REF!</v>
      </c>
      <c r="CA146" s="44">
        <f>AN146*S145</f>
        <v>0</v>
      </c>
      <c r="CB146" s="44">
        <f>AN146*T145</f>
        <v>0</v>
      </c>
      <c r="CC146" s="44">
        <f>AN146*U145</f>
        <v>1155.39624</v>
      </c>
      <c r="CD146" s="44">
        <f>AN146*V145</f>
        <v>0</v>
      </c>
      <c r="CE146" s="44">
        <f>AN146*W145</f>
        <v>577.69812000000002</v>
      </c>
      <c r="CF146" s="44">
        <f>AN146*X145</f>
        <v>577.69812000000002</v>
      </c>
      <c r="CG146" s="44">
        <f>AN146*Y145</f>
        <v>1155.39624</v>
      </c>
      <c r="CH146" s="44">
        <f>AN146*Z145</f>
        <v>0</v>
      </c>
      <c r="CI146" s="44">
        <f>AN146*AA145</f>
        <v>1667.2659957371102</v>
      </c>
      <c r="CJ146" s="44">
        <f>AN146*AB145</f>
        <v>0</v>
      </c>
      <c r="CK146" s="44">
        <f>AN146*AC145</f>
        <v>0</v>
      </c>
      <c r="CL146" s="44">
        <f>AN146*AD145</f>
        <v>483.56432279357199</v>
      </c>
      <c r="CM146" s="44">
        <f>AN146*AE145</f>
        <v>0</v>
      </c>
      <c r="CN146" s="44">
        <f>AN146*AF145</f>
        <v>0</v>
      </c>
      <c r="CO146" s="44">
        <f>AN146*AG145</f>
        <v>0</v>
      </c>
      <c r="CP146" s="44">
        <f>AN146*AH145</f>
        <v>0</v>
      </c>
      <c r="CQ146" s="44">
        <f>AN146*AI145</f>
        <v>7.1957061014649723E-3</v>
      </c>
    </row>
    <row r="147" spans="6:116" ht="15.75" hidden="1" x14ac:dyDescent="0.25">
      <c r="Q147" s="2"/>
      <c r="R147" s="3" t="s">
        <v>40</v>
      </c>
      <c r="S147" s="97">
        <f t="shared" ref="S147:Z148" si="241">S130</f>
        <v>0</v>
      </c>
      <c r="T147" s="97">
        <f t="shared" si="241"/>
        <v>0</v>
      </c>
      <c r="U147" s="97">
        <f t="shared" si="241"/>
        <v>0</v>
      </c>
      <c r="V147" s="97">
        <f t="shared" si="241"/>
        <v>0</v>
      </c>
      <c r="W147" s="97">
        <f t="shared" si="241"/>
        <v>0</v>
      </c>
      <c r="X147" s="97">
        <f t="shared" si="241"/>
        <v>0</v>
      </c>
      <c r="Y147" s="97">
        <f t="shared" si="241"/>
        <v>0</v>
      </c>
      <c r="Z147" s="97">
        <f t="shared" si="241"/>
        <v>0</v>
      </c>
      <c r="AA147" s="97">
        <f t="shared" ref="AA147:AH148" si="242">AA130</f>
        <v>504.6130242516665</v>
      </c>
      <c r="AB147" s="97">
        <f t="shared" si="242"/>
        <v>0</v>
      </c>
      <c r="AC147" s="97">
        <f t="shared" si="242"/>
        <v>0</v>
      </c>
      <c r="AD147" s="97">
        <f t="shared" si="242"/>
        <v>2865.0672501025942</v>
      </c>
      <c r="AE147" s="97">
        <f t="shared" si="242"/>
        <v>0</v>
      </c>
      <c r="AF147" s="97" t="str">
        <f t="shared" si="242"/>
        <v>Total Drag</v>
      </c>
      <c r="AG147" s="97">
        <f t="shared" si="242"/>
        <v>0</v>
      </c>
      <c r="AH147" s="97">
        <f t="shared" si="242"/>
        <v>0</v>
      </c>
      <c r="AI147" s="97">
        <f t="shared" ref="AI147" si="243">AI130</f>
        <v>0</v>
      </c>
      <c r="AK147" s="67">
        <f t="shared" si="236"/>
        <v>59181</v>
      </c>
      <c r="AL147" s="123">
        <v>74999</v>
      </c>
      <c r="AM147" s="111">
        <v>0.377</v>
      </c>
      <c r="AN147" s="113">
        <v>0.19089999999999999</v>
      </c>
      <c r="AO147" s="113">
        <v>0.2843</v>
      </c>
      <c r="AP147" s="13">
        <f t="shared" si="228"/>
        <v>15818</v>
      </c>
      <c r="AQ147" s="13">
        <f t="shared" si="229"/>
        <v>5963.3860000000004</v>
      </c>
      <c r="AR147" s="97">
        <f t="shared" si="237"/>
        <v>22736.923199999997</v>
      </c>
      <c r="AS147" s="114">
        <f>AR146+AM147*(S149-AK147)</f>
        <v>13010.700199999999</v>
      </c>
      <c r="AT147" s="114">
        <f>AR146+AM147*(T149-AK147)</f>
        <v>78906.530200000008</v>
      </c>
      <c r="AU147" s="115">
        <f>AR146+AM147*(U149-AK147)</f>
        <v>11459.631719999999</v>
      </c>
      <c r="AV147" s="115">
        <f>AR146+AM147*(V149-AK147)</f>
        <v>82013.854679999989</v>
      </c>
      <c r="AW147" s="115">
        <f>AR146+AM147*(W149-AK147)</f>
        <v>13788.8282</v>
      </c>
      <c r="AX147" s="43">
        <f>AR146+AM147*(X149-AK147)</f>
        <v>79684.658200000005</v>
      </c>
      <c r="AY147" s="115">
        <f>AR146+AM147*(Y149-AK147)</f>
        <v>80462.786200000002</v>
      </c>
      <c r="AZ147" s="115">
        <f>AR146+AM147*(Z149-AK147)</f>
        <v>-5537.6998000000021</v>
      </c>
      <c r="BA147" s="115">
        <f>AR146+AM147*(AA149-AK147)</f>
        <v>9637.419755071438</v>
      </c>
      <c r="BB147" s="43">
        <f>AR146+AM147*(AB149-AK147)</f>
        <v>-5537.6998000000021</v>
      </c>
      <c r="BC147" s="43">
        <f>AR146+AM147*(AC149-AK147)</f>
        <v>9542.3001999999979</v>
      </c>
      <c r="BD147" s="43">
        <f>AR146+AM147*(AD149-AK147)</f>
        <v>-4997.6346233556615</v>
      </c>
      <c r="BE147" s="43">
        <f>AR146+AM147*(AE149-AK147)</f>
        <v>9542.3001999999979</v>
      </c>
      <c r="BF147" s="43" t="e">
        <f>AR146+AM147*(AF149-AK147)</f>
        <v>#VALUE!</v>
      </c>
      <c r="BG147" s="43">
        <f>AR146+AM147*(AG149-AK147)</f>
        <v>78906.530200000008</v>
      </c>
      <c r="BH147" s="43">
        <f>AR146+AM147*(AH149-AK147)</f>
        <v>-5537.6998000000021</v>
      </c>
      <c r="BI147" s="43">
        <f>AR146+AM147*(AI149-AK147)</f>
        <v>9542.3001999999979</v>
      </c>
      <c r="BJ147" s="115">
        <f>S143*AO147</f>
        <v>0</v>
      </c>
      <c r="BK147" s="115">
        <f>T143*AO147</f>
        <v>0</v>
      </c>
      <c r="BL147" s="115">
        <f>U143*AO147</f>
        <v>0</v>
      </c>
      <c r="BM147" s="115">
        <f>V143*AO147</f>
        <v>0</v>
      </c>
      <c r="BN147" s="115">
        <f>W143*AO147</f>
        <v>0</v>
      </c>
      <c r="BO147" s="115">
        <f>X143*AO147</f>
        <v>0</v>
      </c>
      <c r="BP147" s="43">
        <f>Y143*AO147</f>
        <v>0</v>
      </c>
      <c r="BQ147" s="43">
        <f>Z143*AO147</f>
        <v>28430</v>
      </c>
      <c r="BR147" s="43">
        <f>AA143*AO147</f>
        <v>0</v>
      </c>
      <c r="BS147" s="43">
        <f>AB143*AO147</f>
        <v>28430</v>
      </c>
      <c r="BT147" s="43">
        <f>AC143*AO147</f>
        <v>0</v>
      </c>
      <c r="BU147" s="43">
        <f>AD143*AO147</f>
        <v>28430</v>
      </c>
      <c r="BV147" s="43">
        <f>AE143*AO147</f>
        <v>0</v>
      </c>
      <c r="BW147" s="43">
        <f>AF143*AO147</f>
        <v>0</v>
      </c>
      <c r="BX147" s="43">
        <f>AG143*AO147</f>
        <v>97799.2</v>
      </c>
      <c r="BY147" s="43" t="e">
        <f>AH143*AO147</f>
        <v>#REF!</v>
      </c>
      <c r="BZ147" s="43" t="e">
        <f>AI143*AO147</f>
        <v>#REF!</v>
      </c>
      <c r="CA147" s="44">
        <f>AN147*S145</f>
        <v>0</v>
      </c>
      <c r="CB147" s="44">
        <f>AN147*T145</f>
        <v>0</v>
      </c>
      <c r="CC147" s="44">
        <f>AN147*U145</f>
        <v>1319.9589599999999</v>
      </c>
      <c r="CD147" s="44">
        <f>AN147*V145</f>
        <v>0</v>
      </c>
      <c r="CE147" s="44">
        <f>AN147*W145</f>
        <v>659.97947999999997</v>
      </c>
      <c r="CF147" s="44">
        <f>AN147*X145</f>
        <v>659.97947999999997</v>
      </c>
      <c r="CG147" s="44">
        <f>AN147*Y145</f>
        <v>1319.9589599999999</v>
      </c>
      <c r="CH147" s="44">
        <f>AN147*Z145</f>
        <v>0</v>
      </c>
      <c r="CI147" s="44">
        <f>AN147*AA145</f>
        <v>1904.7341626942807</v>
      </c>
      <c r="CJ147" s="44">
        <f>AN147*AB145</f>
        <v>0</v>
      </c>
      <c r="CK147" s="44">
        <f>AN147*AC145</f>
        <v>0</v>
      </c>
      <c r="CL147" s="44">
        <f>AN147*AD145</f>
        <v>552.4382359143799</v>
      </c>
      <c r="CM147" s="44">
        <f>AN147*AE145</f>
        <v>0</v>
      </c>
      <c r="CN147" s="44">
        <f>AN147*AF145</f>
        <v>0</v>
      </c>
      <c r="CO147" s="44">
        <f>AN147*AG145</f>
        <v>0</v>
      </c>
      <c r="CP147" s="44">
        <f>AN147*AH145</f>
        <v>0</v>
      </c>
      <c r="CQ147" s="44">
        <f>AN147*AI145</f>
        <v>8.2205882391960684E-3</v>
      </c>
    </row>
    <row r="148" spans="6:116" ht="15.75" hidden="1" x14ac:dyDescent="0.25">
      <c r="M148" t="s">
        <v>209</v>
      </c>
      <c r="N148" s="117">
        <f>N146+O146</f>
        <v>1.4330940000000002E-2</v>
      </c>
      <c r="Q148" s="2"/>
      <c r="R148" s="3" t="s">
        <v>41</v>
      </c>
      <c r="S148" s="97">
        <f t="shared" si="241"/>
        <v>0</v>
      </c>
      <c r="T148" s="97">
        <f t="shared" si="241"/>
        <v>0</v>
      </c>
      <c r="U148" s="97">
        <f t="shared" si="241"/>
        <v>0</v>
      </c>
      <c r="V148" s="97">
        <f t="shared" si="241"/>
        <v>0</v>
      </c>
      <c r="W148" s="97">
        <f t="shared" si="241"/>
        <v>0</v>
      </c>
      <c r="X148" s="97">
        <f t="shared" si="241"/>
        <v>0</v>
      </c>
      <c r="Y148" s="97">
        <f t="shared" si="241"/>
        <v>0</v>
      </c>
      <c r="Z148" s="97">
        <f t="shared" si="241"/>
        <v>0</v>
      </c>
      <c r="AA148" s="97">
        <f t="shared" si="242"/>
        <v>252.30651212583325</v>
      </c>
      <c r="AB148" s="97">
        <f t="shared" si="242"/>
        <v>0</v>
      </c>
      <c r="AC148" s="97">
        <f t="shared" si="242"/>
        <v>0</v>
      </c>
      <c r="AD148" s="97">
        <f t="shared" si="242"/>
        <v>1432.5336250512971</v>
      </c>
      <c r="AE148" s="97">
        <f t="shared" si="242"/>
        <v>0</v>
      </c>
      <c r="AF148" s="97" t="e">
        <f t="shared" si="242"/>
        <v>#VALUE!</v>
      </c>
      <c r="AG148" s="97">
        <f t="shared" si="242"/>
        <v>0</v>
      </c>
      <c r="AH148" s="97">
        <f t="shared" si="242"/>
        <v>0</v>
      </c>
      <c r="AI148" s="97">
        <f t="shared" ref="AI148" si="244">AI131</f>
        <v>0</v>
      </c>
      <c r="AJ148" s="16" t="s">
        <v>67</v>
      </c>
      <c r="AK148" s="118">
        <f t="shared" si="236"/>
        <v>75000</v>
      </c>
      <c r="AL148" s="119">
        <v>93000</v>
      </c>
      <c r="AM148" s="120">
        <v>0.37169999999999997</v>
      </c>
      <c r="AN148" s="122">
        <v>0.1835</v>
      </c>
      <c r="AO148" s="122">
        <v>0.2782</v>
      </c>
      <c r="AP148" s="13">
        <f t="shared" si="228"/>
        <v>18000</v>
      </c>
      <c r="AQ148" s="13">
        <f t="shared" si="229"/>
        <v>6690.5999999999995</v>
      </c>
      <c r="AR148" s="97">
        <f t="shared" si="237"/>
        <v>29427.523199999996</v>
      </c>
      <c r="AS148" s="114">
        <f>AR147+AM148*(S149-AK148)</f>
        <v>13147.063199999999</v>
      </c>
      <c r="AT148" s="114">
        <f>AR147+AM148*(T149-AK148)</f>
        <v>78116.506200000003</v>
      </c>
      <c r="AU148" s="115">
        <f>AR147+AM148*(U149-AK148)</f>
        <v>11617.800191999999</v>
      </c>
      <c r="AV148" s="115">
        <f>AR147+AM148*(V149-AK148)</f>
        <v>81180.14680799999</v>
      </c>
      <c r="AW148" s="115">
        <f>AR147+AM148*(W149-AK148)</f>
        <v>13914.251999999999</v>
      </c>
      <c r="AX148" s="43">
        <f>AR147+AM148*(X149-AK148)</f>
        <v>78883.694999999992</v>
      </c>
      <c r="AY148" s="115">
        <f>AR147+AM148*(Y149-AK148)</f>
        <v>79650.883799999996</v>
      </c>
      <c r="AZ148" s="115">
        <f>AR147+AM148*(Z149-AK148)</f>
        <v>-5140.5767999999989</v>
      </c>
      <c r="BA148" s="115">
        <f>AR147+AM148*(AA149-AK148)</f>
        <v>9821.2055305571703</v>
      </c>
      <c r="BB148" s="43">
        <f>AR147+AM148*(AB149-AK148)</f>
        <v>-5140.5767999999989</v>
      </c>
      <c r="BC148" s="43">
        <f>AR147+AM148*(AC149-AK148)</f>
        <v>9727.4231999999975</v>
      </c>
      <c r="BD148" s="43">
        <f>AR147+AM148*(AD149-AK148)</f>
        <v>-4608.1040515684363</v>
      </c>
      <c r="BE148" s="43">
        <f>AR147+AM148*(AE149-AK148)</f>
        <v>9727.4231999999975</v>
      </c>
      <c r="BF148" s="43" t="e">
        <f>AR147+AM148*(AF149-AK148)</f>
        <v>#VALUE!</v>
      </c>
      <c r="BG148" s="43">
        <f>AR147+AM148*(AG149-AK148)</f>
        <v>78116.506200000003</v>
      </c>
      <c r="BH148" s="43">
        <f>AR147+AM148*(AH149-AK148)</f>
        <v>-5140.5767999999989</v>
      </c>
      <c r="BI148" s="43">
        <f>AR147+AM148*(AI149-AK148)</f>
        <v>9727.4231999999975</v>
      </c>
      <c r="BJ148" s="115">
        <f>S143*AO148</f>
        <v>0</v>
      </c>
      <c r="BK148" s="147">
        <f>T143*AO148</f>
        <v>0</v>
      </c>
      <c r="BL148" s="115">
        <f>U143*AO148</f>
        <v>0</v>
      </c>
      <c r="BM148" s="115">
        <f>V143*AO148</f>
        <v>0</v>
      </c>
      <c r="BN148" s="115">
        <f>W143*AO148</f>
        <v>0</v>
      </c>
      <c r="BO148" s="115">
        <f>X143*AO148</f>
        <v>0</v>
      </c>
      <c r="BP148" s="43">
        <f>Y143*AO148</f>
        <v>0</v>
      </c>
      <c r="BQ148" s="43">
        <f>Z143*AO148</f>
        <v>27820</v>
      </c>
      <c r="BR148" s="43">
        <f>AA143*AO148</f>
        <v>0</v>
      </c>
      <c r="BS148" s="43">
        <f>AB143*AO148</f>
        <v>27820</v>
      </c>
      <c r="BT148" s="43">
        <f>AC143*AO148</f>
        <v>0</v>
      </c>
      <c r="BU148" s="43">
        <f>AD143*AO148</f>
        <v>27820</v>
      </c>
      <c r="BV148" s="43">
        <f>AE143*AO148</f>
        <v>0</v>
      </c>
      <c r="BW148" s="43">
        <f>AF143*AO148</f>
        <v>0</v>
      </c>
      <c r="BX148" s="43">
        <f>AG143*AO148</f>
        <v>95700.800000000003</v>
      </c>
      <c r="BY148" s="43" t="e">
        <f>AH143*AO148</f>
        <v>#REF!</v>
      </c>
      <c r="BZ148" s="43" t="e">
        <f>AI143*AO148</f>
        <v>#REF!</v>
      </c>
      <c r="CA148" s="44">
        <f>AN148*S145</f>
        <v>0</v>
      </c>
      <c r="CB148" s="44">
        <f>AN148*T145</f>
        <v>0</v>
      </c>
      <c r="CC148" s="44">
        <f>AN148*U145</f>
        <v>1268.7923999999998</v>
      </c>
      <c r="CD148" s="44">
        <f>AN148*V145</f>
        <v>0</v>
      </c>
      <c r="CE148" s="44">
        <f>AN148*W145</f>
        <v>634.39619999999991</v>
      </c>
      <c r="CF148" s="44">
        <f>AN148*X145</f>
        <v>634.39619999999991</v>
      </c>
      <c r="CG148" s="44">
        <f>AN148*Y145</f>
        <v>1268.7923999999998</v>
      </c>
      <c r="CH148" s="44">
        <f>AN148*Z145</f>
        <v>0</v>
      </c>
      <c r="CI148" s="44">
        <f>AN148*AA145</f>
        <v>1830.8995225479337</v>
      </c>
      <c r="CJ148" s="44">
        <f>AN148*AB145</f>
        <v>0</v>
      </c>
      <c r="CK148" s="44">
        <f>AN148*AC145</f>
        <v>0</v>
      </c>
      <c r="CL148" s="44">
        <f>AN148*AD145</f>
        <v>531.02365788522116</v>
      </c>
      <c r="CM148" s="44">
        <f>AN148*AE145</f>
        <v>0</v>
      </c>
      <c r="CN148" s="44">
        <f>AN148*AF145</f>
        <v>0</v>
      </c>
      <c r="CO148" s="44">
        <f>AN148*AG145</f>
        <v>0</v>
      </c>
      <c r="CP148" s="44">
        <f>AN148*AH145</f>
        <v>0</v>
      </c>
      <c r="CQ148" s="44">
        <f>AN148*AI145</f>
        <v>7.9019274064561478E-3</v>
      </c>
    </row>
    <row r="149" spans="6:116" ht="15.75" hidden="1" x14ac:dyDescent="0.25">
      <c r="Q149" s="2"/>
      <c r="R149" s="14" t="s">
        <v>43</v>
      </c>
      <c r="S149" s="130">
        <f t="shared" ref="S149:Z149" si="245">S140-S141+S148</f>
        <v>49200</v>
      </c>
      <c r="T149" s="130">
        <f t="shared" si="245"/>
        <v>223990</v>
      </c>
      <c r="U149" s="130">
        <f t="shared" si="245"/>
        <v>45085.760000000002</v>
      </c>
      <c r="V149" s="130">
        <f t="shared" si="245"/>
        <v>232232.24</v>
      </c>
      <c r="W149" s="130">
        <f t="shared" si="245"/>
        <v>51264</v>
      </c>
      <c r="X149" s="130">
        <f t="shared" si="245"/>
        <v>226054</v>
      </c>
      <c r="Y149" s="130">
        <f t="shared" si="245"/>
        <v>228118</v>
      </c>
      <c r="Z149" s="130">
        <f t="shared" si="245"/>
        <v>0</v>
      </c>
      <c r="AA149" s="130">
        <f t="shared" ref="AA149:AH149" si="246">AA140-AA141+AA148</f>
        <v>40252.306512125833</v>
      </c>
      <c r="AB149" s="130">
        <f t="shared" si="246"/>
        <v>0</v>
      </c>
      <c r="AC149" s="130">
        <f t="shared" si="246"/>
        <v>40000</v>
      </c>
      <c r="AD149" s="130">
        <f t="shared" si="246"/>
        <v>1432.5336250512971</v>
      </c>
      <c r="AE149" s="130">
        <f t="shared" si="246"/>
        <v>40000</v>
      </c>
      <c r="AF149" s="130" t="e">
        <f t="shared" si="246"/>
        <v>#VALUE!</v>
      </c>
      <c r="AG149" s="130">
        <f t="shared" si="246"/>
        <v>223990</v>
      </c>
      <c r="AH149" s="130">
        <f t="shared" si="246"/>
        <v>0</v>
      </c>
      <c r="AI149" s="130">
        <f t="shared" ref="AI149" si="247">AI140-AI141+AI148</f>
        <v>40000</v>
      </c>
      <c r="AJ149">
        <f>IF(S149&lt;AL143,AM143,IF(S149&lt;AL144,AM144,IF(S149&lt;AL145,AM145,IF(S149&lt;AL146,AM146,IF(S149&lt;AL147,AM147,IF(S149&lt;AL148,AM148,IF(S149&lt;AL149,AM149,IF(S149&lt;AL150,AM150,AM151))))))))</f>
        <v>0.35980000000000001</v>
      </c>
      <c r="AK149" s="67">
        <f t="shared" si="236"/>
        <v>93001</v>
      </c>
      <c r="AL149" s="123">
        <v>93208</v>
      </c>
      <c r="AM149" s="111">
        <v>0.38</v>
      </c>
      <c r="AN149" s="113">
        <v>0.19500000000000001</v>
      </c>
      <c r="AO149" s="113">
        <v>0.2878</v>
      </c>
      <c r="AP149" s="13">
        <f t="shared" si="228"/>
        <v>207</v>
      </c>
      <c r="AQ149" s="13">
        <f>AP149*AM149</f>
        <v>78.66</v>
      </c>
      <c r="AR149" s="97">
        <f t="shared" si="237"/>
        <v>29506.183199999996</v>
      </c>
      <c r="AS149" s="114">
        <f>AR148+AM149*(S149-AK149)</f>
        <v>12783.143199999995</v>
      </c>
      <c r="AT149" s="114">
        <f>AR148+AM149*(T149-AK149)</f>
        <v>79203.343200000003</v>
      </c>
      <c r="AU149" s="115">
        <f>AR148+AM149*(U149-AK149)</f>
        <v>11219.731999999996</v>
      </c>
      <c r="AV149" s="115">
        <f>AR148+AM149*(V149-AK149)</f>
        <v>82335.39439999999</v>
      </c>
      <c r="AW149" s="115">
        <f>AR148+AM149*(W149-AK149)</f>
        <v>13567.463199999997</v>
      </c>
      <c r="AX149" s="43">
        <f>AR148+AM149*(X149-AK149)</f>
        <v>79987.663199999995</v>
      </c>
      <c r="AY149" s="115">
        <f>AR148+AM149*(Y149-AK149)</f>
        <v>80771.983199999988</v>
      </c>
      <c r="AZ149" s="115">
        <f>AR148+AM149*(Z149-AK149)</f>
        <v>-5912.8568000000014</v>
      </c>
      <c r="BA149" s="115">
        <f>AR148+AM149*(AA149-AK149)</f>
        <v>9383.0196746078109</v>
      </c>
      <c r="BB149" s="43">
        <f>AR148+AM149*(AB149-AK149)</f>
        <v>-5912.8568000000014</v>
      </c>
      <c r="BC149" s="43">
        <f>AR148+AM149*(AC149-AK149)</f>
        <v>9287.143199999995</v>
      </c>
      <c r="BD149" s="43">
        <f>AR148+AM149*(AD149-AK149)</f>
        <v>-5368.4940224805105</v>
      </c>
      <c r="BE149" s="43">
        <f>AR148+AM149*(AE149-AK149)</f>
        <v>9287.143199999995</v>
      </c>
      <c r="BF149" s="43" t="e">
        <f>AR148+AM149*(AF149-AK149)</f>
        <v>#VALUE!</v>
      </c>
      <c r="BG149" s="43">
        <f>AR148+AM149*(AG149-AK149)</f>
        <v>79203.343200000003</v>
      </c>
      <c r="BH149" s="43">
        <f>AR148+AM149*(AH149-AK149)</f>
        <v>-5912.8568000000014</v>
      </c>
      <c r="BI149" s="43">
        <f>AR148+AM149*(AI149-AK149)</f>
        <v>9287.143199999995</v>
      </c>
      <c r="BJ149" s="115">
        <f>S143*AO149</f>
        <v>0</v>
      </c>
      <c r="BK149" s="147">
        <f>T143*AO149</f>
        <v>0</v>
      </c>
      <c r="BL149" s="115">
        <f>U143*AO149</f>
        <v>0</v>
      </c>
      <c r="BM149" s="115">
        <f>V143*AO149</f>
        <v>0</v>
      </c>
      <c r="BN149" s="115">
        <f>W143*AO149</f>
        <v>0</v>
      </c>
      <c r="BO149" s="115">
        <f>X143*AO149</f>
        <v>0</v>
      </c>
      <c r="BP149" s="43">
        <f>Y143*AO149</f>
        <v>0</v>
      </c>
      <c r="BQ149" s="43">
        <f>Z143*AO149</f>
        <v>28780</v>
      </c>
      <c r="BR149" s="43">
        <f>AA143*AO149</f>
        <v>0</v>
      </c>
      <c r="BS149" s="43">
        <f>AB143*AO149</f>
        <v>28780</v>
      </c>
      <c r="BT149" s="43">
        <f>AC143*AO149</f>
        <v>0</v>
      </c>
      <c r="BU149" s="43">
        <f>AD143*AO149</f>
        <v>28780</v>
      </c>
      <c r="BV149" s="43">
        <f>AE143*AO149</f>
        <v>0</v>
      </c>
      <c r="BW149" s="43">
        <f>AF143*AO149</f>
        <v>0</v>
      </c>
      <c r="BX149" s="43">
        <f>AG143*AO149</f>
        <v>99003.199999999997</v>
      </c>
      <c r="BY149" s="43" t="e">
        <f>AH143*AO149</f>
        <v>#REF!</v>
      </c>
      <c r="BZ149" s="43" t="e">
        <f>AI143*AO149</f>
        <v>#REF!</v>
      </c>
      <c r="CA149" s="44">
        <f>AN149*S145</f>
        <v>0</v>
      </c>
      <c r="CB149" s="44">
        <f>AN149*T145</f>
        <v>0</v>
      </c>
      <c r="CC149" s="44">
        <f>AN149*U145</f>
        <v>1348.308</v>
      </c>
      <c r="CD149" s="44">
        <f>AN149*V145</f>
        <v>0</v>
      </c>
      <c r="CE149" s="44">
        <f>AN149*W145</f>
        <v>674.154</v>
      </c>
      <c r="CF149" s="44">
        <f>AN149*X145</f>
        <v>674.154</v>
      </c>
      <c r="CG149" s="44">
        <f>AN149*Y145</f>
        <v>1348.308</v>
      </c>
      <c r="CH149" s="44">
        <f>AN149*Z145</f>
        <v>0</v>
      </c>
      <c r="CI149" s="44">
        <f>AN149*AA145</f>
        <v>1945.6425443969868</v>
      </c>
      <c r="CJ149" s="44">
        <f>AN149*AB145</f>
        <v>0</v>
      </c>
      <c r="CK149" s="44">
        <f>AN149*AC145</f>
        <v>0</v>
      </c>
      <c r="CL149" s="44">
        <f>AN149*AD145</f>
        <v>564.30306968729235</v>
      </c>
      <c r="CM149" s="44">
        <f>AN149*AE145</f>
        <v>0</v>
      </c>
      <c r="CN149" s="44">
        <f>AN149*AF145</f>
        <v>0</v>
      </c>
      <c r="CO149" s="44">
        <f>AN149*AG145</f>
        <v>0</v>
      </c>
      <c r="CP149" s="44">
        <f>AN149*AH145</f>
        <v>0</v>
      </c>
      <c r="CQ149" s="44">
        <f>AN149*AI145</f>
        <v>8.3971435654438646E-3</v>
      </c>
    </row>
    <row r="150" spans="6:116" ht="15.75" hidden="1" x14ac:dyDescent="0.25">
      <c r="Q150" s="2"/>
      <c r="R150" s="3" t="s">
        <v>45</v>
      </c>
      <c r="S150" s="97">
        <f t="shared" ref="S150:Z150" si="248">(S140-S141)+S144+S146+S148</f>
        <v>49200</v>
      </c>
      <c r="T150" s="135">
        <f t="shared" si="248"/>
        <v>223990</v>
      </c>
      <c r="U150" s="97">
        <f t="shared" si="248"/>
        <v>54627.631999999998</v>
      </c>
      <c r="V150" s="135">
        <f t="shared" si="248"/>
        <v>232232.24</v>
      </c>
      <c r="W150" s="97">
        <f t="shared" si="248"/>
        <v>56034.936000000002</v>
      </c>
      <c r="X150" s="135">
        <f t="shared" si="248"/>
        <v>230824.93599999999</v>
      </c>
      <c r="Y150" s="135">
        <f t="shared" si="248"/>
        <v>237659.872</v>
      </c>
      <c r="Z150" s="135">
        <f t="shared" si="248"/>
        <v>115999.99999999999</v>
      </c>
      <c r="AA150" s="135">
        <f t="shared" ref="AA150:AH150" si="249">(AA140-AA141)+AA144+AA146+AA148</f>
        <v>54021.469134012201</v>
      </c>
      <c r="AB150" s="135">
        <f t="shared" si="249"/>
        <v>115999.99999999999</v>
      </c>
      <c r="AC150" s="135">
        <f t="shared" si="249"/>
        <v>40000</v>
      </c>
      <c r="AD150" s="135">
        <f t="shared" si="249"/>
        <v>121426.06304129981</v>
      </c>
      <c r="AE150" s="135">
        <f t="shared" si="249"/>
        <v>40000</v>
      </c>
      <c r="AF150" s="135" t="e">
        <f t="shared" si="249"/>
        <v>#VALUE!</v>
      </c>
      <c r="AG150" s="135">
        <f t="shared" si="249"/>
        <v>623030</v>
      </c>
      <c r="AH150" s="135" t="e">
        <f t="shared" si="249"/>
        <v>#REF!</v>
      </c>
      <c r="AI150" s="135" t="e">
        <f t="shared" ref="AI150" si="250">(AI140-AI141)+AI144+AI146+AI148</f>
        <v>#REF!</v>
      </c>
      <c r="AJ150">
        <f>AJ149*0.5</f>
        <v>0.1799</v>
      </c>
      <c r="AK150" s="132">
        <f t="shared" si="236"/>
        <v>93209</v>
      </c>
      <c r="AL150" s="133">
        <v>144489</v>
      </c>
      <c r="AM150" s="134">
        <v>0.435</v>
      </c>
      <c r="AN150" s="122">
        <v>0.27089999999999997</v>
      </c>
      <c r="AO150" s="122">
        <v>0.35160000000000002</v>
      </c>
      <c r="AP150" s="13">
        <f t="shared" si="228"/>
        <v>51280</v>
      </c>
      <c r="AQ150" s="13">
        <f>AP150*AM150</f>
        <v>22306.799999999999</v>
      </c>
      <c r="AR150" s="97">
        <f t="shared" si="237"/>
        <v>51812.983199999995</v>
      </c>
      <c r="AS150" s="114">
        <f>AR149+AM150*(S149-AK150)</f>
        <v>10362.268199999995</v>
      </c>
      <c r="AT150" s="114">
        <f>AR149+AM150*(T149-AK150)</f>
        <v>86395.9182</v>
      </c>
      <c r="AU150" s="115">
        <f>AR149+AM150*(U149-AK150)</f>
        <v>8572.5737999999983</v>
      </c>
      <c r="AV150" s="115">
        <f>AR149+AM150*(V149-AK150)</f>
        <v>89981.292599999986</v>
      </c>
      <c r="AW150" s="115">
        <f>AR149+AM150*(W149-AK150)</f>
        <v>11260.108199999995</v>
      </c>
      <c r="AX150" s="43">
        <f>AR149+AM150*(X149-AK150)</f>
        <v>87293.758199999997</v>
      </c>
      <c r="AY150" s="115">
        <f>AR149+AM150*(Y149-AK150)</f>
        <v>88191.598199999993</v>
      </c>
      <c r="AZ150" s="115">
        <f>AR149+AM150*(Z149-AK150)</f>
        <v>-11039.731800000005</v>
      </c>
      <c r="BA150" s="115">
        <f>AR149+AM150*(AA149-AK150)</f>
        <v>6470.0215327747319</v>
      </c>
      <c r="BB150" s="43">
        <f>AR149+AM150*(AB149-AK150)</f>
        <v>-11039.731800000005</v>
      </c>
      <c r="BC150" s="43">
        <f>AR149+AM150*(AC149-AK150)</f>
        <v>6360.268199999995</v>
      </c>
      <c r="BD150" s="43">
        <f>AR149+AM150*(AD149-AK150)</f>
        <v>-10416.579673102689</v>
      </c>
      <c r="BE150" s="43">
        <f>AR149+AM150*(AE149-AK150)</f>
        <v>6360.268199999995</v>
      </c>
      <c r="BF150" s="43" t="e">
        <f>AR149+AM150*(AF149-AK150)</f>
        <v>#VALUE!</v>
      </c>
      <c r="BG150" s="43">
        <f>AR149+AM150*(AG149-AK150)</f>
        <v>86395.9182</v>
      </c>
      <c r="BH150" s="43">
        <f>AR149+AM150*(AH149-AK150)</f>
        <v>-11039.731800000005</v>
      </c>
      <c r="BI150" s="43">
        <f>AR149+AM150*(AI149-AK150)</f>
        <v>6360.268199999995</v>
      </c>
      <c r="BJ150" s="115">
        <f>S143*AO150</f>
        <v>0</v>
      </c>
      <c r="BK150" s="115">
        <f>T143*AO150</f>
        <v>0</v>
      </c>
      <c r="BL150" s="115">
        <f>U143*AO150</f>
        <v>0</v>
      </c>
      <c r="BM150" s="115">
        <f>V143*AO150</f>
        <v>0</v>
      </c>
      <c r="BN150" s="115">
        <f>W143*AO150</f>
        <v>0</v>
      </c>
      <c r="BO150" s="115">
        <f>X143*AO150</f>
        <v>0</v>
      </c>
      <c r="BP150" s="43">
        <f>Y143*AO150</f>
        <v>0</v>
      </c>
      <c r="BQ150" s="43">
        <f>Z143*AO150</f>
        <v>35160</v>
      </c>
      <c r="BR150" s="43">
        <f>AA143*AO150</f>
        <v>0</v>
      </c>
      <c r="BS150" s="43">
        <f>AB143*AO150</f>
        <v>35160</v>
      </c>
      <c r="BT150" s="43">
        <f>AC143*AO150</f>
        <v>0</v>
      </c>
      <c r="BU150" s="43">
        <f>AD143*AO150</f>
        <v>35160</v>
      </c>
      <c r="BV150" s="43">
        <f>AE143*AO150</f>
        <v>0</v>
      </c>
      <c r="BW150" s="43">
        <f>AF143*AO150</f>
        <v>0</v>
      </c>
      <c r="BX150" s="43">
        <f>AG143*AO150</f>
        <v>120950.40000000001</v>
      </c>
      <c r="BY150" s="43" t="e">
        <f>AH143*AO150</f>
        <v>#REF!</v>
      </c>
      <c r="BZ150" s="43" t="e">
        <f>AI143*AO150</f>
        <v>#REF!</v>
      </c>
      <c r="CA150" s="44">
        <f>AN150*S145</f>
        <v>0</v>
      </c>
      <c r="CB150" s="44">
        <f>AN150*T145</f>
        <v>0</v>
      </c>
      <c r="CC150" s="44">
        <f>AN150*U145</f>
        <v>1873.1109599999997</v>
      </c>
      <c r="CD150" s="44">
        <f>AN150*V145</f>
        <v>0</v>
      </c>
      <c r="CE150" s="44">
        <f>AN150*W145</f>
        <v>936.55547999999987</v>
      </c>
      <c r="CF150" s="44">
        <f>AN150*X145</f>
        <v>936.55547999999987</v>
      </c>
      <c r="CG150" s="44">
        <f>AN150*Y145</f>
        <v>1873.1109599999997</v>
      </c>
      <c r="CH150" s="44">
        <f>AN150*Z145</f>
        <v>0</v>
      </c>
      <c r="CI150" s="44">
        <f>AN150*AA145</f>
        <v>2702.9464886007368</v>
      </c>
      <c r="CJ150" s="44">
        <f>AN150*AB145</f>
        <v>0</v>
      </c>
      <c r="CK150" s="44">
        <f>AN150*AC145</f>
        <v>0</v>
      </c>
      <c r="CL150" s="44">
        <f>AN150*AD145</f>
        <v>783.94718758096133</v>
      </c>
      <c r="CM150" s="44">
        <f>AN150*AE145</f>
        <v>0</v>
      </c>
      <c r="CN150" s="44">
        <f>AN150*AF145</f>
        <v>0</v>
      </c>
      <c r="CO150" s="44">
        <f>AN150*AG145</f>
        <v>0</v>
      </c>
      <c r="CP150" s="44">
        <f>AN150*AH145</f>
        <v>0</v>
      </c>
      <c r="CQ150" s="44">
        <f>AN150*AI145</f>
        <v>1.1665570214762782E-2</v>
      </c>
    </row>
    <row r="151" spans="6:116" ht="15.75" hidden="1" x14ac:dyDescent="0.25">
      <c r="Q151" s="2"/>
      <c r="R151" s="3" t="s">
        <v>46</v>
      </c>
      <c r="S151" s="135">
        <f>IF(S150&lt;AL143,AS143,IF(S150&lt;AL144,AS144,IF(S150&lt;AL145,AS145,IF(S150&lt;AL146,AS146,IF(S150&lt;AL147,AS147,IF(S150&lt;AL148,AS148,IF(S150&lt;AL149,AS149,IF(S150&lt;AL150,AS150,IF(S150&lt;AL151,AS151,IF(S150&lt;AL152,AS152,AS153))))))))))</f>
        <v>13182.733200000001</v>
      </c>
      <c r="T151" s="135">
        <f>IF(T150&lt;AL143,AT143,IF(T150&lt;AL144,AT144,IF(T150&lt;AL145,AT145,IF(T150&lt;AL146,AT146,IF(T150&lt;AL147,AT147,IF(T150&lt;AL148,AT148,IF(T150&lt;AL149,AT149,IF(T150&lt;AL150,AT150,IF(T150&lt;AL151,AT151,IF(T150&lt;AL152,AT152,AT153))))))))))</f>
        <v>92095.013200000001</v>
      </c>
      <c r="U151" s="135">
        <f>IF(U150&lt;AL143,AU143,IF(U150&lt;AL144,AU144,IF(U150&lt;AL145,AU145,IF(U150&lt;AL146,AU146,IF(U150&lt;AL147,AU147,IF(U150&lt;AL148,AU148,IF(U150&lt;AL149,AU149,IF(U150&lt;AL150,AU150,IF(U150&lt;AL151,AU151,IF(U150&lt;AL152,AU152,AU153))))))))))</f>
        <v>11702.429648000001</v>
      </c>
      <c r="V151" s="135">
        <f>IF(V150&lt;AL143,AV143,IF(V150&lt;AL144,AV144,IF(V150&lt;AL145,AV145,IF(V150&lt;AL146,AV146,IF(V150&lt;AL147,AV147,IF(V150&lt;AL148,AV148,IF(V150&lt;AL149,AV149,IF(V150&lt;AL150,AV150,IF(V150&lt;AL151,AV151,IF(V150&lt;AL152,AV152,AV153))))))))))</f>
        <v>96545.822799999994</v>
      </c>
      <c r="W151" s="135">
        <f>IF(W150&lt;AL143,AW143,IF(W150&lt;AL144,AW144,IF(W150&lt;AL145,AW145,IF(W150&lt;AL146,AW146,IF(W150&lt;AL147,AW147,IF(W150&lt;AL148,AW148,IF(W150&lt;AL149,AW149,IF(W150&lt;AL150,AW150,IF(W150&lt;AL151,AW151,IF(W150&lt;AL152,AW152,AW153))))))))))</f>
        <v>13925.3604</v>
      </c>
      <c r="X151" s="135">
        <f>IF(X150&lt;AL143,AX143,IF(X150&lt;AL144,AX144,IF(X150&lt;AL145,AX145,IF(X150&lt;AL146,AX146,IF(X150&lt;AL147,AX147,IF(X150&lt;AL148,AX148,IF(X150&lt;AL149,AX149,IF(X150&lt;AL150,AX150,IF(X150&lt;AL151,AX151,IF(X150&lt;AL152,AX152,AX153))))))))))</f>
        <v>93209.573199999999</v>
      </c>
      <c r="Y151" s="135">
        <f>IF(Y150&lt;AL143,AY143,IF(Y150&lt;AL144,AY144,IF(Y150&lt;AL145,AY145,IF(Y150&lt;AL146,AY146,IF(Y150&lt;AL147,AY147,IF(Y150&lt;AL148,AY148,IF(Y150&lt;AL149,AY149,IF(Y150&lt;AL150,AY150,IF(Y150&lt;AL151,AY151,IF(Y150&lt;AL152,AY152,AY153))))))))))</f>
        <v>94324.133199999997</v>
      </c>
      <c r="Z151" s="135">
        <f>IF(Z150&lt;AL143,AZ143,IF(Z150&lt;AL144,AZ144,IF(Z150&lt;AL145,AZ145,IF(Z150&lt;AL146,AZ146,IF(Z150&lt;AL147,AZ147,IF(Z150&lt;AL148,AZ148,IF(Z150&lt;AL149,AZ149,IF(Z150&lt;AL150,AZ150,IF(Z150&lt;AL151,AZ151,IF(Z150&lt;AL152,AZ152,AZ153))))))))))</f>
        <v>-11039.731800000005</v>
      </c>
      <c r="AA151" s="135">
        <f>IF(AA150&lt;AL143,BA143,IF(AA150&lt;AL144,BA144,IF(AA150&lt;AL145,BA145,IF(AA150&lt;AL146,BA146,IF(AA150&lt;AL147,BA147,IF(AA150&lt;AL148,BA148,IF(AA150&lt;AL149,BA149,IF(AA150&lt;AL150,BA150,IF(AA150&lt;AL151,BA151,IF(AA150&lt;AL152,BA152,BA153))))))))))</f>
        <v>9963.3530830628752</v>
      </c>
      <c r="AB151" s="135">
        <f>IF(AB150&lt;AL143,BB143,IF(AB150&lt;AL144,BB144,IF(AB150&lt;AL145,BB145,IF(AB150&lt;AL146,BB146,IF(AB150&lt;AL147,BB147,IF(AB150&lt;AL148,BB148,IF(AB150&lt;AL149,BB149,IF(AB150&lt;AL150,BB150,IF(AB150&lt;AL151,BB151,IF(AB150&lt;AL152,BB152,BB153))))))))))</f>
        <v>-11039.731800000005</v>
      </c>
      <c r="AC151" s="135">
        <f>IF(AC150&lt;AL143,BC143,IF(AC150&lt;AL144,BC144,IF(AC150&lt;AL145,BC145,IF(AC150&lt;AL146,BC146,IF(AC150&lt;AL147,BC147,IF(AC150&lt;AL148,BC148,IF(AC150&lt;AL149,BC149,IF(AC150&lt;AL150,BC150,IF(AC150&lt;AL151,BC151,IF(AC150&lt;AL152,BC152,BC153))))))))))</f>
        <v>10236.207999999999</v>
      </c>
      <c r="AD151" s="135">
        <f>IF(AD150&lt;AL143,BD143,IF(AD150&lt;AL144,BD144,IF(AD150&lt;AL145,BD145,IF(AD150&lt;AL146,BD146,IF(AD150&lt;AL147,BD147,IF(AD150&lt;AL148,BD148,IF(AD150&lt;AL149,BD149,IF(AD150&lt;AL150,BD150,IF(AD150&lt;AL151,BD151,IF(AD150&lt;AL152,BD152,BD153))))))))))</f>
        <v>-10416.579673102689</v>
      </c>
      <c r="AE151" s="135">
        <f>IF(AE150&lt;AL143,BE143,IF(AE150&lt;AL144,BE144,IF(AE150&lt;AL145,BE145,IF(AE150&lt;AL146,BE146,IF(AE150&lt;AL147,BE147,IF(AE150&lt;AL148,BE148,IF(AE150&lt;AL149,BE149,IF(AE150&lt;AL150,BE150,IF(AE150&lt;AL151,BE151,IF(AE150&lt;AL152,BE152,BE153))))))))))</f>
        <v>10236.207999999999</v>
      </c>
      <c r="AF151" s="135" t="e">
        <f>IF(AF150&lt;AL143,BF143,IF(AF150&lt;AL144,BF144,IF(AF150&lt;AL145,BF145,IF(AF150&lt;AL146,BF146,IF(AF150&lt;AL147,BF147,IF(AF150&lt;AL148,BF148,IF(AF150&lt;AL149,BF149,IF(AF150&lt;AL150,BF150,IF(AF150&lt;AL151,BF151,IF(AF150&lt;AL152,BF152,BF153))))))))))</f>
        <v>#VALUE!</v>
      </c>
      <c r="AG151" s="135">
        <f>IF(AG150&lt;AL143,BG143,IF(AG150&lt;AL144,BG144,IF(AG150&lt;AL145,BG145,IF(AG150&lt;AL146,BG146,IF(AG150&lt;AL147,BG147,IF(AG150&lt;AL148,BG148,IF(AG150&lt;AL149,BG149,IF(AG150&lt;AL150,BG150,IF(AG150&lt;AL151,BG151,IF(AG150&lt;AL152,BG152,BG153))))))))))</f>
        <v>92095.013200000001</v>
      </c>
      <c r="AH151" s="135" t="e">
        <f>IF(AH150&lt;AL143,BH143,IF(AH150&lt;AL144,BH144,IF(AH150&lt;AL145,BH145,IF(AH150&lt;AL146,BH146,IF(AH150&lt;AL147,BH147,IF(AH150&lt;AL148,BH148,IF(AH150&lt;AL149,BH149,IF(AH150&lt;AL150,BH150,IF(AH150&lt;AL151,BH151,IF(AH150&lt;AL152,BH152,BH153))))))))))</f>
        <v>#REF!</v>
      </c>
      <c r="AI151" s="135" t="e">
        <f>IF(AI150&lt;AL143,BI143,IF(AI150&lt;AL144,BI144,IF(AI150&lt;AL145,BI145,IF(AI150&lt;AL146,BI146,IF(AI150&lt;AL147,BI147,IF(AI150&lt;AL148,BI148,IF(AI150&lt;AL149,BI149,IF(AI150&lt;AL150,BI150,IF(AI150&lt;AL151,BI151,IF(AI150&lt;AL152,BI152,BI153))))))))))</f>
        <v>#REF!</v>
      </c>
      <c r="AJ151" s="8">
        <f>IF(S150&lt;AL143,AN143,IF(S150&lt;AL144,AN144,IF(S150&lt;AL145,AN145,IF(S150&lt;AL146,AN146,IF(S150&lt;AL147,AN147,IF(S150&lt;AL148,AN148,IF(S150&lt;AL149,AN149,IF(S150&lt;AL150,AN150,AN151))))))))</f>
        <v>0.1671</v>
      </c>
      <c r="AK151" s="131">
        <f t="shared" si="236"/>
        <v>144490</v>
      </c>
      <c r="AL151" s="136">
        <v>150000</v>
      </c>
      <c r="AM151" s="137">
        <v>0.46500000000000002</v>
      </c>
      <c r="AN151" s="139">
        <v>0.31230000000000002</v>
      </c>
      <c r="AO151" s="139">
        <v>0.38640000000000002</v>
      </c>
      <c r="AP151" s="13">
        <f>AL151-AK151</f>
        <v>5510</v>
      </c>
      <c r="AQ151" s="13">
        <f>AP151*AM151</f>
        <v>2562.15</v>
      </c>
      <c r="AR151" s="97">
        <f t="shared" si="237"/>
        <v>54375.133199999997</v>
      </c>
      <c r="AS151" s="114">
        <f>AR150+AM151*(S149-AK151)</f>
        <v>7503.1331999999893</v>
      </c>
      <c r="AT151" s="114">
        <f>AR150+AM151*(T149-AK151)</f>
        <v>88780.483199999988</v>
      </c>
      <c r="AU151" s="115">
        <f>AR150+AM151*(U149-AK151)</f>
        <v>5590.011599999998</v>
      </c>
      <c r="AV151" s="115">
        <f>AR150+AM151*(V149-AK151)</f>
        <v>92613.124799999991</v>
      </c>
      <c r="AW151" s="115">
        <f>AR150+AM151*(W149-AK151)</f>
        <v>8462.8931999999913</v>
      </c>
      <c r="AX151" s="43">
        <f>AR150+AM151*(X149-AK151)</f>
        <v>89740.243199999997</v>
      </c>
      <c r="AY151" s="115">
        <f>AR150+AM151*(Y149-AK151)</f>
        <v>90700.003200000006</v>
      </c>
      <c r="AZ151" s="115">
        <f>AR150+AM151*(Z149-AK151)</f>
        <v>-15374.866800000011</v>
      </c>
      <c r="BA151" s="115">
        <f>AR150+AM151*(AA149-AK151)</f>
        <v>3342.4557281384987</v>
      </c>
      <c r="BB151" s="43">
        <f>AR150+AM151*(AB149-AK151)</f>
        <v>-15374.866800000011</v>
      </c>
      <c r="BC151" s="43">
        <f>AR150+AM151*(AC149-AK151)</f>
        <v>3225.1331999999893</v>
      </c>
      <c r="BD151" s="43">
        <f>AR150+AM151*(AD149-AK151)</f>
        <v>-14708.738664351164</v>
      </c>
      <c r="BE151" s="43">
        <f>AR150+AM151*(AE149-AK151)</f>
        <v>3225.1331999999893</v>
      </c>
      <c r="BF151" s="43" t="e">
        <f>AR150+AM151*(AF149-AK151)</f>
        <v>#VALUE!</v>
      </c>
      <c r="BG151" s="43">
        <f>AR150+AM151*(AG149-AK151)</f>
        <v>88780.483199999988</v>
      </c>
      <c r="BH151" s="43">
        <f>AR150+AM151*(AH149-AK151)</f>
        <v>-15374.866800000011</v>
      </c>
      <c r="BI151" s="43">
        <f>AR150+AM151*(AI149-AK151)</f>
        <v>3225.1331999999893</v>
      </c>
      <c r="BJ151" s="115">
        <f>S143*AO151</f>
        <v>0</v>
      </c>
      <c r="BK151" s="115">
        <f>T143*AO151</f>
        <v>0</v>
      </c>
      <c r="BL151" s="115">
        <f>U143*AO151</f>
        <v>0</v>
      </c>
      <c r="BM151" s="115">
        <f>V143*AO151</f>
        <v>0</v>
      </c>
      <c r="BN151" s="115">
        <f>W143*AO151</f>
        <v>0</v>
      </c>
      <c r="BO151" s="115">
        <f>X143*AO151</f>
        <v>0</v>
      </c>
      <c r="BP151" s="43">
        <f>Y143*AO151</f>
        <v>0</v>
      </c>
      <c r="BQ151" s="43">
        <f>Z143*AO151</f>
        <v>38640</v>
      </c>
      <c r="BR151" s="43">
        <f>AA143*AO151</f>
        <v>0</v>
      </c>
      <c r="BS151" s="43">
        <f>AB143*AO151</f>
        <v>38640</v>
      </c>
      <c r="BT151" s="43">
        <f>AC143*AO151</f>
        <v>0</v>
      </c>
      <c r="BU151" s="43">
        <f>AD143*AO151</f>
        <v>38640</v>
      </c>
      <c r="BV151" s="43">
        <f>AE143*AO151</f>
        <v>0</v>
      </c>
      <c r="BW151" s="43">
        <f>AF143*AO151</f>
        <v>0</v>
      </c>
      <c r="BX151" s="43">
        <f>AG143*AO151</f>
        <v>132921.60000000001</v>
      </c>
      <c r="BY151" s="43" t="e">
        <f>AH143*AO151</f>
        <v>#REF!</v>
      </c>
      <c r="BZ151" s="43" t="e">
        <f>AI143*AO151</f>
        <v>#REF!</v>
      </c>
      <c r="CA151" s="44">
        <f>AN151*S145</f>
        <v>0</v>
      </c>
      <c r="CB151" s="44">
        <f>AN151*T145</f>
        <v>0</v>
      </c>
      <c r="CC151" s="44">
        <f>AN151*U145</f>
        <v>2159.3671199999999</v>
      </c>
      <c r="CD151" s="44">
        <f>AN151*V145</f>
        <v>0</v>
      </c>
      <c r="CE151" s="44">
        <f>AN151*W145</f>
        <v>1079.6835599999999</v>
      </c>
      <c r="CF151" s="44">
        <f>AN151*X145</f>
        <v>1079.6835599999999</v>
      </c>
      <c r="CG151" s="44">
        <f>AN151*Y145</f>
        <v>2159.3671199999999</v>
      </c>
      <c r="CH151" s="44">
        <f>AN151*Z145</f>
        <v>0</v>
      </c>
      <c r="CI151" s="44">
        <f>AN151*AA145</f>
        <v>3116.0213672573282</v>
      </c>
      <c r="CJ151" s="44">
        <f>AN151*AB145</f>
        <v>0</v>
      </c>
      <c r="CK151" s="44">
        <f>AN151*AC145</f>
        <v>0</v>
      </c>
      <c r="CL151" s="44">
        <f>AN151*AD145</f>
        <v>903.7530700684174</v>
      </c>
      <c r="CM151" s="44">
        <f>AN151*AE145</f>
        <v>0</v>
      </c>
      <c r="CN151" s="44">
        <f>AN151*AF145</f>
        <v>0</v>
      </c>
      <c r="CO151" s="44">
        <f>AN151*AG145</f>
        <v>0</v>
      </c>
      <c r="CP151" s="44">
        <f>AN151*AH145</f>
        <v>0</v>
      </c>
      <c r="CQ151" s="44">
        <f>AN151*AI145</f>
        <v>1.3448348387118558E-2</v>
      </c>
    </row>
    <row r="152" spans="6:116" ht="15.75" hidden="1" x14ac:dyDescent="0.25">
      <c r="Q152" s="2"/>
      <c r="R152" s="3" t="s">
        <v>70</v>
      </c>
      <c r="S152">
        <f>IF(S150&lt;AL143,BJ143,IF(S150&lt;AL144,BJ144,IF(S150&lt;AL145,BJ145,IF(S150&lt;AL146,BJ146,IF(S150&lt;AL147,BJ147,IF(S150&lt;AL148,BJ148,IF(S150&lt;AL149,BJ149,IF(S150&lt;AL150,BJ150,IF(S150&lt;AL151,BJ151,IF(S150&lt;AL152,BJ152,BJ153))))))))))</f>
        <v>0</v>
      </c>
      <c r="T152">
        <f>IF(T150&lt;AL143,BK143,IF(T150&lt;AL144,BK144,IF(T150&lt;AL145,BK145,IF(T150&lt;AL146,BK146,IF(T150&lt;AL147,BK147,IF(T150&lt;AL148,BK148,IF(T150&lt;AL149,BK149,IF(T150&lt;AL150,BK150,IF(T150&lt;AL151,BK151,IF(T150&lt;AL152,BK152,BK153))))))))))</f>
        <v>0</v>
      </c>
      <c r="U152">
        <f>IF(U150&lt;AL143,BL143,IF(U150&lt;AL144,BL144,IF(U150&lt;AL145,BL145,IF(U150&lt;AL146,BL146,IF(U150&lt;AL147,BL147,IF(U150&lt;AL148,BL148,IF(U150&lt;AL149,BL149,IF(U150&lt;AL150,BL150,IF(U150&lt;AL151,BL151,IF(U150&lt;AL152,BL152,BL153))))))))))</f>
        <v>0</v>
      </c>
      <c r="V152">
        <f>IF(V150&lt;AL143,BM143,IF(V150&lt;AL144,BM144,IF(V150&lt;AL145,BM145,IF(V150&lt;AL146,BM146,IF(V150&lt;AL147,BM147,IF(V150&lt;AL148,BM148,IF(V150&lt;AL149,BM149,IF(V150&lt;AL150,BM150,IF(V150&lt;AL151,BM151,IF(V150&lt;AL152,BM152,BM153))))))))))</f>
        <v>0</v>
      </c>
      <c r="W152" s="2">
        <f>IF(W150&lt;AL143,BN143,IF(W150&lt;AL144,BN144,IF(W150&lt;AL145,BN145,IF(W150&lt;AL146,BN146,IF(W150&lt;AL147,BN147,IF(W150&lt;AL148,BN148,IF(W150&lt;AL149,BN149,IF(W150&lt;AL150,BN150,IF(W150&lt;AL151,BN151,IF(W150&lt;AL152,BN152,BN153))))))))))</f>
        <v>0</v>
      </c>
      <c r="X152" s="2">
        <f>IF(X150&lt;AL143,BO143,IF(X150&lt;AL144,BO144,IF(X150&lt;AL145,BO145,IF(X150&lt;AL146,BO146,IF(X150&lt;AL147,BO147,IF(X150&lt;AL148,BO148,IF(X150&lt;AL149,BO149,IF(X150&lt;AL150,BO150,IF(X150&lt;AL151,BO151,IF(X150&lt;AL152,BO152,BO153))))))))))</f>
        <v>0</v>
      </c>
      <c r="Y152" s="2">
        <f>IF(Y150&lt;AL143,BP143,IF(Y150&lt;AL144,BP144,IF(Y150&lt;AL145,BP145,IF(Y150&lt;AL146,BP146,IF(Y150&lt;AL147,BP147,IF(Y150&lt;AL148,BP148,IF(Y150&lt;AL149,BP149,IF(Y150&lt;AL150,BP150,IF(Y150&lt;AL151,BP151,IF(Y150&lt;AL152,BP152,BP153))))))))))</f>
        <v>0</v>
      </c>
      <c r="Z152" s="2">
        <f>IF(Z150&lt;AL143,BQ143,IF(Z150&lt;AL144,BQ144,IF(Z150&lt;AL145,BQ145,IF(Z150&lt;AL146,BQ146,IF(Z150&lt;AL147,BQ147,IF(Z150&lt;AL148,BQ148,IF(Z150&lt;AL149,BQ149,IF(Z150&lt;AL150,BQ150,IF(Z150&lt;AL151,BQ151,IF(Z150&lt;AL152,BQ152,BQ153))))))))))</f>
        <v>35160</v>
      </c>
      <c r="AA152" s="2">
        <f>IF(AA150&lt;AL143,BR143,IF(AA150&lt;AL144,BR144,IF(AA150&lt;AL145,BR145,IF(AA150&lt;AL146,BR146,IF(AA150&lt;AL147,BR147,IF(AA150&lt;AL148,BR148,IF(AA150&lt;AL149,BR149,IF(AA150&lt;AL150,BR150,IF(AA150&lt;AL151,BR151,IF(AA150&lt;AL152,BR152,BR153))))))))))</f>
        <v>0</v>
      </c>
      <c r="AB152" s="2">
        <f>IF(AB150&lt;AL143,BS143,IF(AB150&lt;AL144,BS144,IF(AB150&lt;AL145,BS145,IF(AB150&lt;AL146,BS146,IF(AB150&lt;AL147,BS147,IF(AB150&lt;AL148,BS148,IF(AB150&lt;AL149,BS149,IF(AB150&lt;AL150,BS150,IF(AB150&lt;AL151,BS151,IF(AB150&lt;AL152,BS152,BS153))))))))))</f>
        <v>35160</v>
      </c>
      <c r="AC152" s="2">
        <f>IF(AC150&lt;AL143,BT143,IF(AC150&lt;AL144,BT144,IF(AC150&lt;AL145,BT145,IF(AC150&lt;AL146,BT146,IF(AC150&lt;AL147,BT147,IF(AC150&lt;AL148,BT148,IF(AC150&lt;AL149,BT149,IF(AC150&lt;AL150,BT150,IF(AC150&lt;AL151,BT151,IF(AC150&lt;AL152,BT152,BT153))))))))))</f>
        <v>0</v>
      </c>
      <c r="AD152" s="2">
        <f>IF(AD150&lt;AL143,BU143,IF(AD150&lt;AL144,BU144,IF(AD150&lt;AL145,BU145,IF(AD150&lt;AL146,BU146,IF(AD150&lt;AL147,BU147,IF(AD150&lt;AL148,BU148,IF(AD150&lt;AL149,BU149,IF(AD150&lt;AL150,BU150,IF(AD150&lt;AL151,BU151,IF(AD150&lt;AL152,BU152,BU153))))))))))</f>
        <v>35160</v>
      </c>
      <c r="AE152" s="2">
        <f>IF(AE150&lt;AL143,BV143,IF(AE150&lt;AL144,BV144,IF(AE150&lt;AL145,BV145,IF(AE150&lt;AL146,BV146,IF(AE150&lt;AL147,BV147,IF(AE150&lt;AL148,BV148,IF(AE150&lt;AL149,BV149,IF(AE150&lt;AL150,BV150,IF(AE150&lt;AL151,BV151,IF(AE150&lt;AL152,BV152,BV153))))))))))</f>
        <v>0</v>
      </c>
      <c r="AF152" s="2" t="e">
        <f>IF(AF150&lt;AL143,BW143,IF(AF150&lt;AL144,BW144,IF(AF150&lt;AL145,BW145,IF(AF150&lt;AL146,BW146,IF(AF150&lt;AL147,BW147,IF(AF150&lt;AL148,BW148,IF(AF150&lt;AL149,BW149,IF(AF150&lt;AL150,BW150,IF(AF150&lt;AL151,BW151,IF(AF150&lt;AL152,BW152,BW153))))))))))</f>
        <v>#VALUE!</v>
      </c>
      <c r="AG152" s="2">
        <f>IF(AG150&lt;AL143,BX143,IF(AG150&lt;AL144,BX144,IF(AG150&lt;AL145,BX145,IF(AG150&lt;AL146,BX146,IF(AG150&lt;AL147,BX147,IF(AG150&lt;AL148,BX148,IF(AG150&lt;AL149,BX149,IF(AG150&lt;AL150,BX150,IF(AG150&lt;AL151,BX151,IF(AG150&lt;AL152,BX152,BX153))))))))))</f>
        <v>162849.60000000001</v>
      </c>
      <c r="AH152" s="2" t="e">
        <f>IF(AH150&lt;AL143,BY143,IF(AH150&lt;AL144,BY144,IF(AH150&lt;AL145,BY145,IF(AH150&lt;AL146,BY146,IF(AH150&lt;AL147,BY147,IF(AH150&lt;AL148,BY148,IF(AH150&lt;AL149,BY149,IF(AH150&lt;AL150,BY150,IF(AH150&lt;AL151,BY151,IF(AH150&lt;AL152,BY152,BY153))))))))))</f>
        <v>#REF!</v>
      </c>
      <c r="AI152" s="2" t="e">
        <f>IF(AI150&lt;AL143,BZ143,IF(AI150&lt;AL144,BZ144,IF(AI150&lt;AL145,BZ145,IF(AI150&lt;AL146,BZ146,IF(AI150&lt;AL147,BZ147,IF(AI150&lt;AL148,BZ148,IF(AI150&lt;AL149,BZ149,IF(AI150&lt;AL150,BZ150,IF(AI150&lt;AL151,BZ151,IF(AI150&lt;AL152,BZ152,BZ153))))))))))</f>
        <v>#REF!</v>
      </c>
      <c r="AK152" s="148">
        <f>AL151+1</f>
        <v>150001</v>
      </c>
      <c r="AL152" s="149">
        <v>205842</v>
      </c>
      <c r="AM152" s="150">
        <v>0.5</v>
      </c>
      <c r="AN152" s="151">
        <v>0.36059999999999998</v>
      </c>
      <c r="AO152" s="151">
        <v>0.42699999999999999</v>
      </c>
      <c r="AP152" s="13">
        <f t="shared" si="228"/>
        <v>55841</v>
      </c>
      <c r="AQ152" s="13">
        <f t="shared" si="229"/>
        <v>27920.5</v>
      </c>
      <c r="AR152" s="97">
        <f t="shared" si="237"/>
        <v>82295.633199999997</v>
      </c>
      <c r="AS152" s="114">
        <f>AR151+AM152*(S149-AK152)</f>
        <v>3974.6331999999966</v>
      </c>
      <c r="AT152" s="114">
        <f>AR151+AM152*(T149-AK152)</f>
        <v>91369.633199999997</v>
      </c>
      <c r="AU152" s="115">
        <f>AR151+AM152*(U149-AK152)</f>
        <v>1917.5132000000012</v>
      </c>
      <c r="AV152" s="115">
        <f>AR151+AM152*(V149-AK152)</f>
        <v>95490.753199999992</v>
      </c>
      <c r="AW152" s="115">
        <f>AR151+AM152*(W149-AK152)</f>
        <v>5006.6331999999966</v>
      </c>
      <c r="AX152" s="43">
        <f>AR151+AM152*(X149-AK152)</f>
        <v>92401.633199999997</v>
      </c>
      <c r="AY152" s="115">
        <f>AR151+AM152*(Y149-AK152)</f>
        <v>93433.633199999997</v>
      </c>
      <c r="AZ152" s="115">
        <f>AR151+AM152*(Z149-AK152)</f>
        <v>-20625.366800000003</v>
      </c>
      <c r="BA152" s="115">
        <f>AR151+AM152*(AA149-AK152)</f>
        <v>-499.21354393709044</v>
      </c>
      <c r="BB152" s="43">
        <f>AR151+AM152*(AB149-AK152)</f>
        <v>-20625.366800000003</v>
      </c>
      <c r="BC152" s="43">
        <f>AR151+AM152*(AC149-AK152)</f>
        <v>-625.36680000000342</v>
      </c>
      <c r="BD152" s="43">
        <f>AR151+AM152*(AD149-AK152)</f>
        <v>-19909.099987474357</v>
      </c>
      <c r="BE152" s="43">
        <f>AR151+AM152*(AE149-AK152)</f>
        <v>-625.36680000000342</v>
      </c>
      <c r="BF152" s="43" t="e">
        <f>AR151+AM152*(AF149-AK152)</f>
        <v>#VALUE!</v>
      </c>
      <c r="BG152" s="43">
        <f>AR151+AM152*(AG149-AK152)</f>
        <v>91369.633199999997</v>
      </c>
      <c r="BH152" s="43">
        <f>AR151+AM152*(AH149-AK152)</f>
        <v>-20625.366800000003</v>
      </c>
      <c r="BI152" s="43">
        <f>AR151+AM152*(AI149-AK152)</f>
        <v>-625.36680000000342</v>
      </c>
      <c r="BJ152" s="115">
        <f>S143*AO152</f>
        <v>0</v>
      </c>
      <c r="BK152" s="115">
        <f>T143*AO152</f>
        <v>0</v>
      </c>
      <c r="BL152" s="115">
        <f>U143*AO152</f>
        <v>0</v>
      </c>
      <c r="BM152" s="115">
        <f>V143*AO152</f>
        <v>0</v>
      </c>
      <c r="BN152" s="115">
        <f>W143*AO152</f>
        <v>0</v>
      </c>
      <c r="BO152" s="115">
        <f>X143*AO152</f>
        <v>0</v>
      </c>
      <c r="BP152" s="43">
        <f>Y143*AO152</f>
        <v>0</v>
      </c>
      <c r="BQ152" s="43">
        <f>Z143*AO152</f>
        <v>42700</v>
      </c>
      <c r="BR152" s="43">
        <f>AA143*AO152</f>
        <v>0</v>
      </c>
      <c r="BS152" s="43">
        <f>AB143*AO152</f>
        <v>42700</v>
      </c>
      <c r="BT152" s="43">
        <f>AC143*AO152</f>
        <v>0</v>
      </c>
      <c r="BU152" s="43">
        <f>AD143*AO152</f>
        <v>42700</v>
      </c>
      <c r="BV152" s="43">
        <f>AE143*AO152</f>
        <v>0</v>
      </c>
      <c r="BW152" s="43">
        <f>AF143*AO152</f>
        <v>0</v>
      </c>
      <c r="BX152" s="43">
        <f>AG143*AO152</f>
        <v>146888</v>
      </c>
      <c r="BY152" s="43" t="e">
        <f>AH143*AO152</f>
        <v>#REF!</v>
      </c>
      <c r="BZ152" s="43" t="e">
        <f>AI143*AO152</f>
        <v>#REF!</v>
      </c>
      <c r="CA152" s="44">
        <f>AN152*S145</f>
        <v>0</v>
      </c>
      <c r="CB152" s="44">
        <f>AN152*T145</f>
        <v>0</v>
      </c>
      <c r="CC152" s="44">
        <f>AN152*U145</f>
        <v>2493.3326399999996</v>
      </c>
      <c r="CD152" s="44">
        <f>AN152*V145</f>
        <v>0</v>
      </c>
      <c r="CE152" s="44">
        <f>AN152*W145</f>
        <v>1246.6663199999998</v>
      </c>
      <c r="CF152" s="44">
        <f>AN152*X145</f>
        <v>1246.6663199999998</v>
      </c>
      <c r="CG152" s="44">
        <f>AN152*Y145</f>
        <v>2493.3326399999996</v>
      </c>
      <c r="CH152" s="44">
        <f>AN152*Z145</f>
        <v>0</v>
      </c>
      <c r="CI152" s="44">
        <f>AN152*AA145</f>
        <v>3597.9420590233508</v>
      </c>
      <c r="CJ152" s="44">
        <f>AN152*AB145</f>
        <v>0</v>
      </c>
      <c r="CK152" s="44">
        <f>AN152*AC145</f>
        <v>0</v>
      </c>
      <c r="CL152" s="44">
        <f>AN152*AD145</f>
        <v>1043.5265996371159</v>
      </c>
      <c r="CM152" s="44">
        <f>AN152*AE145</f>
        <v>0</v>
      </c>
      <c r="CN152" s="44">
        <f>AN152*AF145</f>
        <v>0</v>
      </c>
      <c r="CO152" s="44">
        <f>AN152*AG145</f>
        <v>0</v>
      </c>
      <c r="CP152" s="44">
        <f>AN152*AH145</f>
        <v>0</v>
      </c>
      <c r="CQ152" s="44">
        <f>AN152*AI145</f>
        <v>1.552825625486696E-2</v>
      </c>
    </row>
    <row r="153" spans="6:116" ht="15.75" hidden="1" x14ac:dyDescent="0.25">
      <c r="Q153" s="2"/>
      <c r="R153" s="3" t="s">
        <v>49</v>
      </c>
      <c r="S153" s="66">
        <f t="shared" ref="S153:AH153" si="251">CA154</f>
        <v>0</v>
      </c>
      <c r="T153" s="66">
        <f t="shared" si="251"/>
        <v>0</v>
      </c>
      <c r="U153" s="66">
        <f t="shared" si="251"/>
        <v>1155.39624</v>
      </c>
      <c r="V153" s="66">
        <f t="shared" si="251"/>
        <v>0</v>
      </c>
      <c r="W153" s="66">
        <f t="shared" si="251"/>
        <v>577.69812000000002</v>
      </c>
      <c r="X153" s="66">
        <f t="shared" si="251"/>
        <v>1437.5037599999998</v>
      </c>
      <c r="Y153" s="66">
        <f t="shared" si="251"/>
        <v>2875.0075199999997</v>
      </c>
      <c r="Z153" s="130">
        <f t="shared" si="251"/>
        <v>0</v>
      </c>
      <c r="AA153" s="130">
        <f t="shared" si="251"/>
        <v>1667.2659957371102</v>
      </c>
      <c r="AB153" s="130">
        <f t="shared" si="251"/>
        <v>0</v>
      </c>
      <c r="AC153" s="130">
        <f t="shared" si="251"/>
        <v>0</v>
      </c>
      <c r="AD153" s="130">
        <f t="shared" si="251"/>
        <v>783.94718758096133</v>
      </c>
      <c r="AE153" s="130">
        <f t="shared" si="251"/>
        <v>0</v>
      </c>
      <c r="AF153" s="130" t="e">
        <f t="shared" si="251"/>
        <v>#VALUE!</v>
      </c>
      <c r="AG153" s="130">
        <f t="shared" si="251"/>
        <v>0</v>
      </c>
      <c r="AH153" s="130" t="e">
        <f t="shared" si="251"/>
        <v>#REF!</v>
      </c>
      <c r="AI153" s="130" t="e">
        <f>CQ154</f>
        <v>#REF!</v>
      </c>
      <c r="AJ153" t="e">
        <f>IF(#REF!&lt;AL143,AM143,IF(#REF!&lt;AL144,AM144,IF(#REF!&lt;AL145,AM145,IF(#REF!&lt;AL146,AM146,IF(#REF!&lt;AL147,AM147,IF(#REF!&lt;AL148,AM148,IF(#REF!&lt;AL149,AM149,IF(#REF!&lt;AL150,AM150,AM151))))))))</f>
        <v>#REF!</v>
      </c>
      <c r="AK153" s="141">
        <f>AL152+1</f>
        <v>205843</v>
      </c>
      <c r="AL153" s="141">
        <v>205843</v>
      </c>
      <c r="AM153" s="137">
        <v>0.54</v>
      </c>
      <c r="AN153" s="139">
        <v>0.4158</v>
      </c>
      <c r="AO153" s="139">
        <v>0.47339999999999999</v>
      </c>
      <c r="AP153" s="13"/>
      <c r="AQ153" s="13"/>
      <c r="AR153" s="97"/>
      <c r="AS153" s="114">
        <f>AR152+AM153*(S149-AK153)</f>
        <v>-2291.5868000000046</v>
      </c>
      <c r="AT153" s="114">
        <f>AR152+AM153*(T149-AK153)</f>
        <v>92095.013200000001</v>
      </c>
      <c r="AU153" s="115">
        <f>AR152+AM153*(U149-AK153)</f>
        <v>-4513.2764000000025</v>
      </c>
      <c r="AV153" s="115">
        <f>AR152+AM153*(V149-AK153)</f>
        <v>96545.822799999994</v>
      </c>
      <c r="AW153" s="115">
        <f>AR152+AM153*(W149-AK153)</f>
        <v>-1177.0268000000069</v>
      </c>
      <c r="AX153" s="43">
        <f>AR152+AM153*(X149-AK153)</f>
        <v>93209.573199999999</v>
      </c>
      <c r="AY153" s="115">
        <f>AR152+AM153*(Y149-AK153)</f>
        <v>94324.133199999997</v>
      </c>
      <c r="AZ153" s="115">
        <f>AR152+AM153*(Z149-AK153)</f>
        <v>-28859.586800000005</v>
      </c>
      <c r="BA153" s="115">
        <f>AR152+AM153*(AA149-AK153)</f>
        <v>-7123.3412834520568</v>
      </c>
      <c r="BB153" s="43">
        <f>AR152+AM153*(AB149-AK153)</f>
        <v>-28859.586800000005</v>
      </c>
      <c r="BC153" s="43">
        <f>AR152+AM153*(AC149-AK153)</f>
        <v>-7259.5868000000046</v>
      </c>
      <c r="BD153" s="43">
        <f>AR152+AM153*(AD149-AK153)</f>
        <v>-28086.018642472307</v>
      </c>
      <c r="BE153" s="43">
        <f>AR152+AM153*(AE149-AK153)</f>
        <v>-7259.5868000000046</v>
      </c>
      <c r="BF153" s="43" t="e">
        <f>AR152+AM153*(AF149-AK153)</f>
        <v>#VALUE!</v>
      </c>
      <c r="BG153" s="43">
        <f>AR152+AM153*(AG149-AK153)</f>
        <v>92095.013200000001</v>
      </c>
      <c r="BH153" s="43">
        <f>AR152+AM153*(AH149-AK153)</f>
        <v>-28859.586800000005</v>
      </c>
      <c r="BI153" s="43">
        <f>AR152+AM153*(AI149-AK153)</f>
        <v>-7259.5868000000046</v>
      </c>
      <c r="BJ153" s="115">
        <f>S143*AO153</f>
        <v>0</v>
      </c>
      <c r="BK153" s="115">
        <f>T143*AO153</f>
        <v>0</v>
      </c>
      <c r="BL153" s="115">
        <f>U143*AO153</f>
        <v>0</v>
      </c>
      <c r="BM153" s="115">
        <f>V143*AO153</f>
        <v>0</v>
      </c>
      <c r="BN153" s="115">
        <f>W143*AO153</f>
        <v>0</v>
      </c>
      <c r="BO153" s="115">
        <f>X143*AO153</f>
        <v>0</v>
      </c>
      <c r="BP153" s="43">
        <f>Y143*AO153</f>
        <v>0</v>
      </c>
      <c r="BQ153" s="43">
        <f>Z143*AO153</f>
        <v>47340</v>
      </c>
      <c r="BR153" s="43">
        <f>AA143*AO153</f>
        <v>0</v>
      </c>
      <c r="BS153" s="43">
        <f>AB143*AO153</f>
        <v>47340</v>
      </c>
      <c r="BT153" s="43">
        <f>AC143*AO153</f>
        <v>0</v>
      </c>
      <c r="BU153" s="43">
        <f>AD143*AO153</f>
        <v>47340</v>
      </c>
      <c r="BV153" s="43">
        <f>AE143*AO153</f>
        <v>0</v>
      </c>
      <c r="BW153" s="43">
        <f>AF143*AO153</f>
        <v>0</v>
      </c>
      <c r="BX153" s="43">
        <f>AG143*AO153</f>
        <v>162849.60000000001</v>
      </c>
      <c r="BY153" s="43" t="e">
        <f>AH143*AO153</f>
        <v>#REF!</v>
      </c>
      <c r="BZ153" s="43" t="e">
        <f>AI143*AO153</f>
        <v>#REF!</v>
      </c>
      <c r="CA153" s="44">
        <f>AN153*S145</f>
        <v>0</v>
      </c>
      <c r="CB153" s="44">
        <f>AN153*T145</f>
        <v>0</v>
      </c>
      <c r="CC153" s="44">
        <f>AN153*U145</f>
        <v>2875.0075199999997</v>
      </c>
      <c r="CD153" s="44">
        <f>AN153*V145</f>
        <v>0</v>
      </c>
      <c r="CE153" s="44">
        <f>AN153*W145</f>
        <v>1437.5037599999998</v>
      </c>
      <c r="CF153" s="44">
        <f>AN153*X145</f>
        <v>1437.5037599999998</v>
      </c>
      <c r="CG153" s="44">
        <f>AN153*Y145</f>
        <v>2875.0075199999997</v>
      </c>
      <c r="CH153" s="44">
        <f>AN153*Z145</f>
        <v>0</v>
      </c>
      <c r="CI153" s="44">
        <f>AN153*AA145</f>
        <v>4148.7085638988056</v>
      </c>
      <c r="CJ153" s="44">
        <f>AN153*AB145</f>
        <v>0</v>
      </c>
      <c r="CK153" s="44">
        <f>AN153*AC145</f>
        <v>0</v>
      </c>
      <c r="CL153" s="44">
        <f>AN153*AD145</f>
        <v>1203.2677762870571</v>
      </c>
      <c r="CM153" s="44">
        <f>AN153*AE145</f>
        <v>0</v>
      </c>
      <c r="CN153" s="44">
        <f>AN153*AF145</f>
        <v>0</v>
      </c>
      <c r="CO153" s="44">
        <f>AN153*AG145</f>
        <v>0</v>
      </c>
      <c r="CP153" s="44">
        <f>AN153*AH145</f>
        <v>0</v>
      </c>
      <c r="CQ153" s="44">
        <f>AN153*AI145</f>
        <v>1.7905293818007994E-2</v>
      </c>
    </row>
    <row r="154" spans="6:116" ht="15.75" hidden="1" x14ac:dyDescent="0.25">
      <c r="Q154" s="2"/>
      <c r="R154" s="3" t="s">
        <v>73</v>
      </c>
      <c r="S154" s="135"/>
      <c r="T154" s="97">
        <f>S155-T155</f>
        <v>-78912.28</v>
      </c>
      <c r="U154" s="85">
        <f>U155-S155</f>
        <v>-324.90731199999937</v>
      </c>
      <c r="V154" s="85">
        <f>V155-T155</f>
        <v>4450.8095999999932</v>
      </c>
      <c r="W154" s="85">
        <f>W155-S155</f>
        <v>1320.3253199999981</v>
      </c>
      <c r="X154" s="85">
        <f>X155-T155</f>
        <v>2552.0637600000045</v>
      </c>
      <c r="Y154" s="85">
        <f>Y155-T155</f>
        <v>5104.1275199999945</v>
      </c>
      <c r="Z154" s="142">
        <f t="shared" ref="Z154:AE154" si="252">Z155-W155</f>
        <v>9617.2096799999981</v>
      </c>
      <c r="AA154" s="142">
        <f t="shared" si="252"/>
        <v>-83016.457881200011</v>
      </c>
      <c r="AB154" s="142">
        <f t="shared" si="252"/>
        <v>-73078.87251999999</v>
      </c>
      <c r="AC154" s="142">
        <f t="shared" si="252"/>
        <v>-13884.060199999998</v>
      </c>
      <c r="AD154" s="142">
        <f t="shared" si="252"/>
        <v>13896.748435678288</v>
      </c>
      <c r="AE154" s="142">
        <f t="shared" si="252"/>
        <v>-13884.060199999998</v>
      </c>
      <c r="AF154" s="85" t="e">
        <f>AF155-S155</f>
        <v>#VALUE!</v>
      </c>
      <c r="AG154" s="85">
        <f>AG155-T155</f>
        <v>162849.60000000003</v>
      </c>
      <c r="AH154" s="85" t="e">
        <f>AH155-U155</f>
        <v>#REF!</v>
      </c>
      <c r="AI154" s="85" t="e">
        <f>AI155-V155</f>
        <v>#REF!</v>
      </c>
      <c r="AJ154" t="s">
        <v>51</v>
      </c>
      <c r="AL154" s="141">
        <v>205843</v>
      </c>
      <c r="AM154" s="137">
        <v>0.54</v>
      </c>
      <c r="AN154" s="139">
        <v>0.4158</v>
      </c>
      <c r="AO154" s="139">
        <v>0.47339999999999999</v>
      </c>
      <c r="AP154" s="143"/>
      <c r="AQ154" s="143"/>
      <c r="AR154" s="143"/>
      <c r="AS154" s="143"/>
      <c r="AT154" s="144"/>
      <c r="AU154" s="144"/>
      <c r="AV154" s="144"/>
      <c r="AW154" s="144"/>
      <c r="AX154" s="144"/>
      <c r="AY154" s="144"/>
      <c r="AZ154" s="144"/>
      <c r="BA154" s="144"/>
      <c r="BB154" s="144"/>
      <c r="BC154" s="144"/>
      <c r="BD154" s="144"/>
      <c r="BE154" s="144"/>
      <c r="BF154" s="144"/>
      <c r="BG154" s="144"/>
      <c r="BH154" s="144"/>
      <c r="BI154" s="144"/>
      <c r="BJ154" s="144"/>
      <c r="BK154" s="144"/>
      <c r="BL154" s="144"/>
      <c r="BM154" s="144"/>
      <c r="BN154" s="144"/>
      <c r="BO154" s="144"/>
      <c r="BP154" s="144"/>
      <c r="BQ154" s="144"/>
      <c r="BR154" s="144"/>
      <c r="BS154" s="144"/>
      <c r="BT154" s="144"/>
      <c r="BU154" s="144"/>
      <c r="BV154" s="144"/>
      <c r="BW154" s="144"/>
      <c r="BX154" s="144"/>
      <c r="BY154" s="144"/>
      <c r="BZ154" s="144"/>
      <c r="CA154" s="44">
        <f>IF(S150&lt;AL143,CA143,IF(S150&lt;AL144,CA144,IF(S150&lt;AL145,CA145,IF(S150&lt;AL146,CA146,IF(S150&lt;AL147,CA147,IF(S150&lt;AL148,CA148,IF(S150&lt;AL149,CA149,IF(S150&lt;AL150,CA150,IF(S150&lt;AL151,CA151,IF(S150&lt;AL152,CA152,CA153))))))))))</f>
        <v>0</v>
      </c>
      <c r="CB154" s="44">
        <f>IF(T150&lt;AL143,CB143,IF(T150&lt;AL144,CB144,IF(T150&lt;AL145,CB145,IF(T150&lt;AL146,CB146,IF(T150&lt;AL147,CB147,IF(T150&lt;AL148,CB148,IF(T150&lt;AL149,CB149,IF(T150&lt;AL150,CB150,IF(T150&lt;AL151,CB151,IF(T150&lt;AL152,CB152,CB153))))))))))</f>
        <v>0</v>
      </c>
      <c r="CC154" s="44">
        <f>IF(U150&lt;AL143,CC143,IF(U150&lt;AL144,CC144,IF(U150&lt;AL145,CC145,IF(U150&lt;AL146,CC146,IF(U150&lt;AL147,CC147,IF(U150&lt;AL148,CC148,IF(U150&lt;AL149,CC149,IF(U150&lt;AL150,CC150,IF(U150&lt;AL151,CC151,IF(U150&lt;AL152,CC152,CC153))))))))))</f>
        <v>1155.39624</v>
      </c>
      <c r="CD154" s="44">
        <f>IF(V150&lt;AL143,CD143,IF(V150&lt;AL144,CD144,IF(V150&lt;AL145,CD145,IF(V150&lt;AL146,CD146,IF(V150&lt;AL147,CD147,IF(V150&lt;AL148,CD148,IF(V150&lt;AL149,CD149,IF(V150&lt;AL150,CD150,IF(V150&lt;AL151,CD151,IF(V150&lt;AL152,CD152,CD153))))))))))</f>
        <v>0</v>
      </c>
      <c r="CE154" s="44">
        <f>IF(W150&lt;AL143,CE143,IF(W150&lt;AL144,CE144,IF(W150&lt;AL145,CE145,IF(W150&lt;AL146,CE146,IF(W150&lt;AL147,CE147,IF(W150&lt;AL148,CE148,IF(W150&lt;AL149,CE149,IF(W150&lt;AL150,CE150,IF(W150&lt;AL151,CE151,IF(W150&lt;AL152,CE152,CE153))))))))))</f>
        <v>577.69812000000002</v>
      </c>
      <c r="CF154" s="44">
        <f>IF(X150&lt;AL143,CF143,IF(X150&lt;AL144,CF144,IF(X150&lt;AL145,CF145,IF(X150&lt;AL146,CF146,IF(X150&lt;AL147,CF147,IF(X150&lt;AL148,CF148,IF(X150&lt;AL149,CF149,IF(X150&lt;AL150,CF150,IF(X150&lt;AL151,CF151,IF(X150&lt;AL152,CF152,CF153))))))))))</f>
        <v>1437.5037599999998</v>
      </c>
      <c r="CG154" s="44">
        <f>IF(Y150&lt;AL143,CG143,IF(Y150&lt;AL144,CG144,IF(Y150&lt;AL145,CG145,IF(Y150&lt;AL146,CG146,IF(Y150&lt;AL147,CG147,IF(Y150&lt;AL148,CG148,IF(Y150&lt;AL149,CG149,IF(Y150&lt;AL150,CG150,IF(Y150&lt;AL151,CG151,IF(Y150&lt;AL152,CG152,CG153))))))))))</f>
        <v>2875.0075199999997</v>
      </c>
      <c r="CH154" s="44">
        <f>IF(Z150&lt;AL143,CH143,IF(Z150&lt;AL144,CH144,IF(Z150&lt;AL145,CH145,IF(Z150&lt;AL146,CH146,IF(Z150&lt;AL147,CH147,IF(Z150&lt;AL148,CH148,IF(Z150&lt;AL149,CH149,IF(Z150&lt;AL150,CH150,IF(Z150&lt;AL151,CH151,IF(Z150&lt;AL152,CH152,CH153))))))))))</f>
        <v>0</v>
      </c>
      <c r="CI154" s="44">
        <f>IF(AA150&lt;AL143,CI143,IF(AA150&lt;AL144,CI144,IF(AA150&lt;AL145,CI145,IF(AA150&lt;AL146,CI146,IF(AA150&lt;AL147,CI147,IF(AA150&lt;AL148,CI148,IF(AA150&lt;AL149,CI149,IF(AA150&lt;AL150,CI150,IF(AA150&lt;AL151,CI151,IF(AA150&lt;AL152,CI152,CI153))))))))))</f>
        <v>1667.2659957371102</v>
      </c>
      <c r="CJ154" s="44">
        <f>IF(AB150&lt;AL143,CJ143,IF(AB150&lt;AL144,CJ144,IF(AB150&lt;AL145,CJ145,IF(AB150&lt;AL146,CJ146,IF(AB150&lt;AL147,CJ147,IF(AB150&lt;AL148,CJ148,IF(AB150&lt;AL149,CJ149,IF(AB150&lt;AL150,CJ150,IF(AB150&lt;AL151,CJ151,IF(AB150&lt;AL152,CJ152,CJ153))))))))))</f>
        <v>0</v>
      </c>
      <c r="CK154" s="44">
        <f>IF(AC150&lt;AL143,CK143,IF(AC150&lt;AL144,CK144,IF(AC150&lt;AL145,CK145,IF(AC150&lt;AL146,CK146,IF(AC150&lt;AL147,CK147,IF(AC150&lt;AL148,CK148,IF(AC150&lt;AL149,CK149,IF(AC150&lt;AL150,CK150,IF(AC150&lt;AL151,CK151,IF(AC150&lt;AL152,CK152,CK153))))))))))</f>
        <v>0</v>
      </c>
      <c r="CL154" s="44">
        <f>IF(AD150&lt;AL143,CL143,IF(AD150&lt;AL144,CL144,IF(AD150&lt;AL145,CL145,IF(AD150&lt;AL146,CL146,IF(AD150&lt;AL147,CL147,IF(AD150&lt;AL148,CL148,IF(AD150&lt;AL149,CL149,IF(AD150&lt;AL150,CL150,IF(AD150&lt;AL151,CL151,IF(AD150&lt;AL152,CL152,CL153))))))))))</f>
        <v>783.94718758096133</v>
      </c>
      <c r="CM154" s="44">
        <f>IF(AE150&lt;AL143,CM143,IF(AE150&lt;AL144,CM144,IF(AE150&lt;AL145,CM145,IF(AE150&lt;AL146,CM146,IF(AE150&lt;AL147,CM147,IF(AE150&lt;AL148,CM148,IF(AE150&lt;AL149,CM149,IF(AE150&lt;AL150,CM150,IF(AE150&lt;AL151,CM151,IF(AE150&lt;AL152,CM152,CM153))))))))))</f>
        <v>0</v>
      </c>
      <c r="CN154" s="44" t="e">
        <f>IF(AF150&lt;AL143,CN143,IF(AF150&lt;AL144,CN144,IF(AF150&lt;AL145,CN145,IF(AF150&lt;AL146,CN146,IF(AF150&lt;AL147,CN147,IF(AF150&lt;AL148,CN148,IF(AF150&lt;AL149,CN149,IF(AF150&lt;AL150,CN150,IF(AF150&lt;AL151,CN151,IF(AF150&lt;AL152,CN152,CN153))))))))))</f>
        <v>#VALUE!</v>
      </c>
      <c r="CO154" s="44">
        <f>IF(AG150&lt;AL143,CO143,IF(AG150&lt;AL144,CO144,IF(AG150&lt;AL145,CO145,IF(AG150&lt;AL146,CO146,IF(AG150&lt;AL147,CO147,IF(AG150&lt;AL148,CO148,IF(AG150&lt;AL149,CO149,IF(AG150&lt;AL150,CO150,IF(AG150&lt;AL151,CO151,IF(AG150&lt;AL152,CO152,CO153))))))))))</f>
        <v>0</v>
      </c>
      <c r="CP154" s="44" t="e">
        <f>IF(AH150&lt;AL143,CP143,IF(AH150&lt;AL144,CP144,IF(AH150&lt;AL145,CP145,IF(AH150&lt;AL146,CP146,IF(AH150&lt;AL147,CP147,IF(AH150&lt;AL148,CP148,IF(AH150&lt;AL149,CP149,IF(AH150&lt;AL150,CP150,IF(AH150&lt;AL151,CP151,IF(AH150&lt;AL152,CP152,CP153))))))))))</f>
        <v>#REF!</v>
      </c>
      <c r="CQ154" s="44" t="e">
        <f>IF(AI150&lt;AL143,CQ143,IF(AI150&lt;AL144,CQ144,IF(AI150&lt;AL145,CQ145,IF(AI150&lt;AL146,CQ146,IF(AI150&lt;AL147,CQ147,IF(AI150&lt;AL148,CQ148,IF(AI150&lt;AL149,CQ149,IF(AI150&lt;AL150,CQ150,IF(AI150&lt;AL151,CQ151,IF(AI150&lt;AL152,CQ152,CQ153))))))))))</f>
        <v>#REF!</v>
      </c>
    </row>
    <row r="155" spans="6:116" hidden="1" x14ac:dyDescent="0.25">
      <c r="Q155" s="2"/>
      <c r="R155" s="3" t="s">
        <v>53</v>
      </c>
      <c r="S155" s="72">
        <f t="shared" ref="S155:AI155" si="253">IF(S151+S152+S153-CV143-CV144&lt;0,0,S151+S152+S153-CV143-CV144)</f>
        <v>10692.0033</v>
      </c>
      <c r="T155" s="72">
        <f t="shared" si="253"/>
        <v>89604.283299999996</v>
      </c>
      <c r="U155" s="72">
        <f t="shared" si="253"/>
        <v>10367.095988000001</v>
      </c>
      <c r="V155" s="72">
        <f t="shared" si="253"/>
        <v>94055.092899999989</v>
      </c>
      <c r="W155" s="72">
        <f t="shared" si="253"/>
        <v>12012.328619999998</v>
      </c>
      <c r="X155" s="72">
        <f t="shared" si="253"/>
        <v>92156.34706</v>
      </c>
      <c r="Y155" s="72">
        <f t="shared" si="253"/>
        <v>94708.41081999999</v>
      </c>
      <c r="Z155" s="72">
        <f t="shared" si="253"/>
        <v>21629.538299999997</v>
      </c>
      <c r="AA155" s="72">
        <f t="shared" si="253"/>
        <v>9139.8891787999855</v>
      </c>
      <c r="AB155" s="72">
        <f t="shared" si="253"/>
        <v>21629.538299999997</v>
      </c>
      <c r="AC155" s="72">
        <f t="shared" si="253"/>
        <v>7745.4780999999984</v>
      </c>
      <c r="AD155" s="72">
        <f t="shared" si="253"/>
        <v>23036.637614478273</v>
      </c>
      <c r="AE155" s="72">
        <f t="shared" si="253"/>
        <v>7745.4780999999984</v>
      </c>
      <c r="AF155" s="72" t="e">
        <f t="shared" si="253"/>
        <v>#VALUE!</v>
      </c>
      <c r="AG155" s="72">
        <f t="shared" si="253"/>
        <v>252453.88330000002</v>
      </c>
      <c r="AH155" s="72" t="e">
        <f t="shared" si="253"/>
        <v>#REF!</v>
      </c>
      <c r="AI155" s="72" t="e">
        <f t="shared" si="253"/>
        <v>#REF!</v>
      </c>
      <c r="AJ155" s="130">
        <f>IF((T155-S155-2250)&lt;26010,(T155-S155-2250),26010)</f>
        <v>26010</v>
      </c>
    </row>
    <row r="156" spans="6:116" ht="51" hidden="1" x14ac:dyDescent="0.25">
      <c r="Q156" s="2"/>
      <c r="R156" s="152" t="s">
        <v>94</v>
      </c>
      <c r="S156" t="s">
        <v>55</v>
      </c>
      <c r="T156" t="s">
        <v>56</v>
      </c>
      <c r="U156" t="s">
        <v>55</v>
      </c>
      <c r="V156" t="s">
        <v>56</v>
      </c>
      <c r="W156" t="s">
        <v>55</v>
      </c>
      <c r="X156" t="s">
        <v>56</v>
      </c>
      <c r="Y156" t="s">
        <v>56</v>
      </c>
      <c r="Z156" t="s">
        <v>56</v>
      </c>
      <c r="AA156" t="s">
        <v>56</v>
      </c>
      <c r="AB156" t="s">
        <v>56</v>
      </c>
      <c r="AC156" t="s">
        <v>56</v>
      </c>
      <c r="AD156" t="s">
        <v>56</v>
      </c>
      <c r="AE156" t="s">
        <v>56</v>
      </c>
      <c r="AF156" t="s">
        <v>56</v>
      </c>
      <c r="AG156" t="s">
        <v>56</v>
      </c>
      <c r="AH156" t="s">
        <v>56</v>
      </c>
      <c r="AI156" t="s">
        <v>56</v>
      </c>
      <c r="AK156" s="9" t="s">
        <v>95</v>
      </c>
      <c r="AL156" s="10"/>
      <c r="AM156" s="11" t="s">
        <v>6</v>
      </c>
      <c r="AN156" s="9"/>
      <c r="AO156" s="9"/>
      <c r="AQ156" s="12"/>
      <c r="AT156" s="12"/>
      <c r="AU156" s="12"/>
      <c r="AV156" s="12"/>
      <c r="AW156" s="12"/>
      <c r="AX156" s="12"/>
      <c r="AY156" s="12"/>
      <c r="AZ156" s="12"/>
      <c r="BA156" s="12"/>
      <c r="BB156" s="12"/>
      <c r="BC156" s="12"/>
      <c r="BD156" s="12"/>
      <c r="BE156" s="12"/>
      <c r="BF156" s="12"/>
      <c r="BG156" s="12"/>
      <c r="BH156" s="12"/>
      <c r="BI156" s="12"/>
      <c r="BJ156" s="12" t="s">
        <v>9</v>
      </c>
      <c r="BK156" s="12"/>
      <c r="BL156" s="12"/>
      <c r="BM156" s="12"/>
      <c r="BN156" s="12"/>
      <c r="BO156" s="12"/>
      <c r="BP156" s="12"/>
      <c r="BQ156" s="12"/>
      <c r="BR156" s="12"/>
      <c r="BS156" s="12"/>
      <c r="BT156" s="12"/>
      <c r="BU156" s="12"/>
      <c r="BV156" s="12"/>
      <c r="BW156" s="12"/>
      <c r="BX156" s="12"/>
      <c r="BY156" s="12"/>
      <c r="BZ156" s="12"/>
      <c r="CA156" s="12" t="s">
        <v>58</v>
      </c>
      <c r="CB156" s="12"/>
      <c r="CC156" s="12"/>
      <c r="CD156" s="12"/>
      <c r="CE156" s="12"/>
      <c r="CF156" s="12"/>
      <c r="CG156" s="12"/>
      <c r="CH156" s="12"/>
      <c r="CI156" s="12"/>
      <c r="CJ156" s="12"/>
      <c r="CK156" s="12"/>
      <c r="CL156" s="12"/>
      <c r="CM156" s="12"/>
      <c r="CN156" s="12"/>
      <c r="CO156" s="12"/>
      <c r="CP156" s="12"/>
      <c r="CQ156" s="12"/>
      <c r="CR156" s="13"/>
      <c r="CS156" s="13"/>
    </row>
    <row r="157" spans="6:116" ht="15.75" hidden="1" x14ac:dyDescent="0.25">
      <c r="Q157" s="2"/>
      <c r="R157" s="8" t="s">
        <v>11</v>
      </c>
      <c r="S157" s="97">
        <f t="shared" ref="S157:Z160" si="254">S140</f>
        <v>60000</v>
      </c>
      <c r="T157" s="97">
        <f t="shared" si="254"/>
        <v>250000</v>
      </c>
      <c r="U157" s="97">
        <f t="shared" si="254"/>
        <v>55885.760000000002</v>
      </c>
      <c r="V157" s="97">
        <f t="shared" si="254"/>
        <v>258242.24</v>
      </c>
      <c r="W157" s="97">
        <f t="shared" si="254"/>
        <v>62064</v>
      </c>
      <c r="X157" s="97">
        <f t="shared" si="254"/>
        <v>252064</v>
      </c>
      <c r="Y157" s="97">
        <f t="shared" si="254"/>
        <v>254128</v>
      </c>
      <c r="Z157" s="97">
        <f t="shared" si="254"/>
        <v>0</v>
      </c>
      <c r="AA157" s="97">
        <f t="shared" ref="AA157:AH160" si="255">AA140</f>
        <v>0</v>
      </c>
      <c r="AB157" s="97">
        <f t="shared" si="255"/>
        <v>0</v>
      </c>
      <c r="AC157" s="97">
        <f t="shared" si="255"/>
        <v>0</v>
      </c>
      <c r="AD157" s="97">
        <f t="shared" si="255"/>
        <v>0</v>
      </c>
      <c r="AE157" s="97">
        <f t="shared" si="255"/>
        <v>0</v>
      </c>
      <c r="AF157" s="97">
        <f t="shared" si="255"/>
        <v>0</v>
      </c>
      <c r="AG157" s="97">
        <f t="shared" si="255"/>
        <v>250000</v>
      </c>
      <c r="AH157" s="97">
        <f t="shared" si="255"/>
        <v>0</v>
      </c>
      <c r="AI157" s="97">
        <f t="shared" ref="AI157" si="256">AI140</f>
        <v>0</v>
      </c>
      <c r="AJ157" s="196">
        <f>W171+X171</f>
        <v>3949.9335600000086</v>
      </c>
      <c r="AK157" s="9"/>
      <c r="AL157" s="10"/>
      <c r="AM157" s="98"/>
      <c r="AN157" s="9"/>
      <c r="AO157" s="9"/>
      <c r="AP157" s="99"/>
      <c r="AQ157" s="100" t="s">
        <v>12</v>
      </c>
      <c r="AR157" s="100"/>
      <c r="AS157" s="101" t="s">
        <v>55</v>
      </c>
      <c r="AT157" t="s">
        <v>56</v>
      </c>
      <c r="BJ157" s="16" t="s">
        <v>16</v>
      </c>
      <c r="BK157" s="16"/>
      <c r="BL157" s="16"/>
      <c r="BM157" s="16"/>
      <c r="BN157" s="16"/>
      <c r="BO157" s="16"/>
      <c r="BP157" s="16"/>
      <c r="BQ157" s="16"/>
      <c r="BR157" s="16"/>
      <c r="BS157" s="16"/>
      <c r="BT157" s="16"/>
      <c r="BU157" s="16"/>
      <c r="BV157" s="16"/>
      <c r="BW157" s="16"/>
      <c r="BX157" s="16"/>
      <c r="BY157" s="16"/>
      <c r="BZ157" s="16"/>
      <c r="CA157" t="s">
        <v>16</v>
      </c>
      <c r="CR157" t="s">
        <v>17</v>
      </c>
      <c r="CT157" s="100"/>
      <c r="CU157" s="100"/>
      <c r="CV157" s="100"/>
      <c r="CW157" s="100"/>
    </row>
    <row r="158" spans="6:116" ht="15.75" hidden="1" x14ac:dyDescent="0.25">
      <c r="Q158" s="2"/>
      <c r="R158" s="8" t="s">
        <v>18</v>
      </c>
      <c r="S158" s="97">
        <f t="shared" si="254"/>
        <v>10800</v>
      </c>
      <c r="T158" s="97">
        <f t="shared" si="254"/>
        <v>26010</v>
      </c>
      <c r="U158" s="97">
        <f t="shared" si="254"/>
        <v>10800</v>
      </c>
      <c r="V158" s="97">
        <f t="shared" si="254"/>
        <v>26010</v>
      </c>
      <c r="W158" s="97">
        <f t="shared" si="254"/>
        <v>10800</v>
      </c>
      <c r="X158" s="97">
        <f t="shared" si="254"/>
        <v>26010</v>
      </c>
      <c r="Y158" s="97">
        <f t="shared" si="254"/>
        <v>26010</v>
      </c>
      <c r="Z158" s="97">
        <f t="shared" si="254"/>
        <v>0</v>
      </c>
      <c r="AA158" s="97">
        <f t="shared" si="255"/>
        <v>-40000</v>
      </c>
      <c r="AB158" s="97">
        <f t="shared" si="255"/>
        <v>0</v>
      </c>
      <c r="AC158" s="97">
        <f t="shared" si="255"/>
        <v>-40000</v>
      </c>
      <c r="AD158" s="97">
        <f t="shared" si="255"/>
        <v>0</v>
      </c>
      <c r="AE158" s="97">
        <f t="shared" si="255"/>
        <v>-40000</v>
      </c>
      <c r="AF158" s="97">
        <f t="shared" si="255"/>
        <v>-40000</v>
      </c>
      <c r="AG158" s="97">
        <f t="shared" si="255"/>
        <v>26010</v>
      </c>
      <c r="AH158" s="97">
        <f t="shared" si="255"/>
        <v>0</v>
      </c>
      <c r="AI158" s="97">
        <f t="shared" ref="AI158" si="257">AI141</f>
        <v>-40000</v>
      </c>
      <c r="AK158" s="102"/>
      <c r="AL158" s="103"/>
      <c r="AM158" s="104"/>
      <c r="AN158" s="9" t="s">
        <v>92</v>
      </c>
      <c r="AO158" s="9" t="s">
        <v>93</v>
      </c>
      <c r="AP158" s="100" t="s">
        <v>19</v>
      </c>
      <c r="AQ158" s="100" t="s">
        <v>20</v>
      </c>
      <c r="AR158" s="105" t="s">
        <v>21</v>
      </c>
      <c r="AS158" s="106" t="s">
        <v>22</v>
      </c>
      <c r="BJ158" s="16" t="s">
        <v>23</v>
      </c>
      <c r="BK158" s="16"/>
      <c r="BL158" s="16"/>
      <c r="BM158" s="16"/>
      <c r="BN158" s="16"/>
      <c r="BO158" s="16"/>
      <c r="BP158" s="16"/>
      <c r="BQ158" s="16"/>
      <c r="BR158" s="16"/>
      <c r="BS158" s="16"/>
      <c r="BT158" s="16"/>
      <c r="BU158" s="16"/>
      <c r="BV158" s="16"/>
      <c r="BW158" s="16"/>
      <c r="BX158" s="16"/>
      <c r="BY158" s="16"/>
      <c r="BZ158" s="16"/>
      <c r="CA158" t="s">
        <v>22</v>
      </c>
    </row>
    <row r="159" spans="6:116" ht="15.75" hidden="1" x14ac:dyDescent="0.25">
      <c r="Q159" s="2"/>
      <c r="R159" s="8"/>
      <c r="S159" s="97">
        <f t="shared" si="254"/>
        <v>0</v>
      </c>
      <c r="T159" s="97">
        <f t="shared" si="254"/>
        <v>0</v>
      </c>
      <c r="U159" s="97">
        <f t="shared" si="254"/>
        <v>0</v>
      </c>
      <c r="V159" s="97">
        <f t="shared" si="254"/>
        <v>0</v>
      </c>
      <c r="W159" s="97">
        <f t="shared" si="254"/>
        <v>0</v>
      </c>
      <c r="X159" s="97">
        <f t="shared" si="254"/>
        <v>0</v>
      </c>
      <c r="Y159" s="97">
        <f t="shared" si="254"/>
        <v>0</v>
      </c>
      <c r="Z159" s="97">
        <f t="shared" si="254"/>
        <v>0</v>
      </c>
      <c r="AA159" s="97">
        <f t="shared" si="255"/>
        <v>0</v>
      </c>
      <c r="AB159" s="97">
        <f t="shared" si="255"/>
        <v>0</v>
      </c>
      <c r="AC159" s="97">
        <f t="shared" si="255"/>
        <v>0</v>
      </c>
      <c r="AD159" s="97">
        <f t="shared" si="255"/>
        <v>0</v>
      </c>
      <c r="AE159" s="97">
        <f t="shared" si="255"/>
        <v>0</v>
      </c>
      <c r="AF159" s="97">
        <f t="shared" si="255"/>
        <v>0</v>
      </c>
      <c r="AG159" s="97">
        <f t="shared" si="255"/>
        <v>0</v>
      </c>
      <c r="AH159" s="97">
        <f t="shared" si="255"/>
        <v>0</v>
      </c>
      <c r="AI159" s="97">
        <f t="shared" ref="AI159" si="258">AI142</f>
        <v>0</v>
      </c>
      <c r="AK159" s="102"/>
      <c r="AL159" s="103"/>
      <c r="AM159" s="108"/>
      <c r="AN159" s="9"/>
      <c r="AO159" s="9"/>
      <c r="AP159" s="100"/>
      <c r="AQ159" s="100"/>
      <c r="AR159" s="105"/>
      <c r="AS159" s="106"/>
      <c r="BJ159" s="16"/>
      <c r="BK159" s="16"/>
      <c r="BL159" s="16"/>
      <c r="BM159" s="16"/>
      <c r="BN159" s="16"/>
      <c r="BO159" s="16"/>
      <c r="BP159" s="16"/>
      <c r="BQ159" s="16"/>
      <c r="BR159" s="16"/>
      <c r="BS159" s="16"/>
      <c r="BT159" s="16"/>
      <c r="BU159" s="16"/>
      <c r="BV159" s="16"/>
      <c r="BW159" s="16"/>
      <c r="BX159" s="16"/>
      <c r="BY159" s="16"/>
      <c r="BZ159" s="16"/>
      <c r="CS159" t="s">
        <v>25</v>
      </c>
      <c r="CT159" t="s">
        <v>26</v>
      </c>
      <c r="CU159" t="s">
        <v>27</v>
      </c>
      <c r="CV159" s="16" t="s">
        <v>28</v>
      </c>
      <c r="CW159" s="16" t="s">
        <v>61</v>
      </c>
      <c r="CX159" s="16" t="s">
        <v>62</v>
      </c>
      <c r="CY159" s="16" t="s">
        <v>63</v>
      </c>
      <c r="CZ159" s="16" t="s">
        <v>64</v>
      </c>
      <c r="DA159" s="16" t="s">
        <v>65</v>
      </c>
      <c r="DB159" s="16" t="s">
        <v>3</v>
      </c>
      <c r="DC159" s="16" t="s">
        <v>4</v>
      </c>
      <c r="DD159" s="16" t="s">
        <v>13</v>
      </c>
      <c r="DE159" s="4" t="s">
        <v>170</v>
      </c>
      <c r="DF159" s="4" t="s">
        <v>171</v>
      </c>
      <c r="DG159" s="4" t="s">
        <v>172</v>
      </c>
      <c r="DH159" s="4" t="s">
        <v>174</v>
      </c>
      <c r="DI159" s="4" t="s">
        <v>176</v>
      </c>
      <c r="DJ159" s="4" t="s">
        <v>192</v>
      </c>
      <c r="DK159" s="4" t="s">
        <v>196</v>
      </c>
      <c r="DL159" s="4" t="s">
        <v>198</v>
      </c>
    </row>
    <row r="160" spans="6:116" ht="15.75" hidden="1" x14ac:dyDescent="0.25">
      <c r="Q160" s="2"/>
      <c r="R160" s="8" t="s">
        <v>31</v>
      </c>
      <c r="S160" s="97">
        <f t="shared" si="254"/>
        <v>0</v>
      </c>
      <c r="T160" s="97">
        <f t="shared" si="254"/>
        <v>0</v>
      </c>
      <c r="U160" s="97">
        <f t="shared" si="254"/>
        <v>0</v>
      </c>
      <c r="V160" s="97">
        <f t="shared" si="254"/>
        <v>0</v>
      </c>
      <c r="W160" s="97">
        <f t="shared" si="254"/>
        <v>0</v>
      </c>
      <c r="X160" s="97">
        <f t="shared" si="254"/>
        <v>0</v>
      </c>
      <c r="Y160" s="97">
        <f t="shared" si="254"/>
        <v>0</v>
      </c>
      <c r="Z160" s="97">
        <f t="shared" si="254"/>
        <v>100000</v>
      </c>
      <c r="AA160" s="97">
        <f t="shared" si="255"/>
        <v>0</v>
      </c>
      <c r="AB160" s="97">
        <f t="shared" si="255"/>
        <v>100000</v>
      </c>
      <c r="AC160" s="97">
        <f t="shared" si="255"/>
        <v>0</v>
      </c>
      <c r="AD160" s="97">
        <f t="shared" si="255"/>
        <v>100000</v>
      </c>
      <c r="AE160" s="97">
        <f t="shared" si="255"/>
        <v>0</v>
      </c>
      <c r="AF160" s="97">
        <f t="shared" si="255"/>
        <v>0</v>
      </c>
      <c r="AG160" s="97">
        <f t="shared" si="255"/>
        <v>344000</v>
      </c>
      <c r="AH160" s="97" t="e">
        <f t="shared" si="255"/>
        <v>#REF!</v>
      </c>
      <c r="AI160" s="97" t="e">
        <f t="shared" ref="AI160" si="259">AI143</f>
        <v>#REF!</v>
      </c>
      <c r="AK160" s="110">
        <v>0</v>
      </c>
      <c r="AL160" s="110">
        <v>36926</v>
      </c>
      <c r="AM160" s="111">
        <v>0.23699999999999999</v>
      </c>
      <c r="AN160" s="113">
        <v>4.53E-2</v>
      </c>
      <c r="AO160" s="113">
        <v>0.11799999999999999</v>
      </c>
      <c r="AP160" s="13">
        <f t="shared" ref="AP160:AP167" si="260">AL160-AK160</f>
        <v>36926</v>
      </c>
      <c r="AQ160" s="13">
        <f t="shared" ref="AQ160:AQ167" si="261">AP160*AM160</f>
        <v>8751.4619999999995</v>
      </c>
      <c r="AR160" s="97">
        <f>AQ160</f>
        <v>8751.4619999999995</v>
      </c>
      <c r="AS160" s="114">
        <f>S166*AM160</f>
        <v>11660.4</v>
      </c>
      <c r="AT160" s="114">
        <f>T166*AM160</f>
        <v>53085.63</v>
      </c>
      <c r="AU160" s="115">
        <f>U166*AM160</f>
        <v>10685.32512</v>
      </c>
      <c r="AV160" s="115">
        <f>V166*AM160</f>
        <v>55039.040879999993</v>
      </c>
      <c r="AW160" s="115">
        <f>W166*AM160</f>
        <v>12149.567999999999</v>
      </c>
      <c r="AX160" s="43">
        <f>X166*AM160</f>
        <v>53574.797999999995</v>
      </c>
      <c r="AY160" s="115">
        <f>Y166*AM160</f>
        <v>54063.966</v>
      </c>
      <c r="AZ160" s="115">
        <f>Z166*AM160</f>
        <v>0</v>
      </c>
      <c r="BA160" s="115">
        <f>AA166*AM160</f>
        <v>9539.796643373822</v>
      </c>
      <c r="BB160" s="43">
        <f>AB166*AM160</f>
        <v>0</v>
      </c>
      <c r="BC160" s="43">
        <f>AC166*AM160</f>
        <v>9480</v>
      </c>
      <c r="BD160" s="43">
        <f>AD166*AM160</f>
        <v>339.51046913715743</v>
      </c>
      <c r="BE160" s="43">
        <f>AE166*AM160</f>
        <v>9480</v>
      </c>
      <c r="BF160" s="43" t="e">
        <f>AF166*AM160</f>
        <v>#VALUE!</v>
      </c>
      <c r="BG160" s="43">
        <f>AG166*AM160</f>
        <v>53085.63</v>
      </c>
      <c r="BH160" s="43">
        <f>AH166*AM160</f>
        <v>0</v>
      </c>
      <c r="BI160" s="43">
        <f>AI166*AM160</f>
        <v>9480</v>
      </c>
      <c r="BJ160" s="115">
        <f>S160*AO160</f>
        <v>0</v>
      </c>
      <c r="BK160" s="147">
        <f>T160*AO160</f>
        <v>0</v>
      </c>
      <c r="BL160" s="115">
        <f>U160*AO160</f>
        <v>0</v>
      </c>
      <c r="BM160" s="115">
        <f>V160*AO160</f>
        <v>0</v>
      </c>
      <c r="BN160" s="115">
        <f>W160*AO160</f>
        <v>0</v>
      </c>
      <c r="BO160" s="115">
        <f>X160*AO160</f>
        <v>0</v>
      </c>
      <c r="BP160" s="43">
        <f>Y160*AO160</f>
        <v>0</v>
      </c>
      <c r="BQ160" s="43">
        <f>Z160*AO160</f>
        <v>11800</v>
      </c>
      <c r="BR160" s="43">
        <f>AA160*AO160</f>
        <v>0</v>
      </c>
      <c r="BS160" s="43">
        <f>AB160*AO160</f>
        <v>11800</v>
      </c>
      <c r="BT160" s="43">
        <f>AC160*AO160</f>
        <v>0</v>
      </c>
      <c r="BU160" s="43">
        <f>AD160*AO160</f>
        <v>11800</v>
      </c>
      <c r="BV160" s="43">
        <f>AE160*AO160</f>
        <v>0</v>
      </c>
      <c r="BW160" s="43">
        <f>AF160*AO160</f>
        <v>0</v>
      </c>
      <c r="BX160" s="43">
        <f>AG160*AO160</f>
        <v>40592</v>
      </c>
      <c r="BY160" s="43" t="e">
        <f>AH160*AO160</f>
        <v>#REF!</v>
      </c>
      <c r="BZ160" s="43" t="e">
        <f>AI160*AO160</f>
        <v>#REF!</v>
      </c>
      <c r="CA160" s="44">
        <f>AN160*S162</f>
        <v>0</v>
      </c>
      <c r="CB160" s="44">
        <f>AN160*T162</f>
        <v>0</v>
      </c>
      <c r="CC160" s="44">
        <f>AN160*U162</f>
        <v>313.22231999999997</v>
      </c>
      <c r="CD160" s="44">
        <f>AN160*V162</f>
        <v>0</v>
      </c>
      <c r="CE160" s="44">
        <f>AN160*W162</f>
        <v>156.61115999999998</v>
      </c>
      <c r="CF160" s="44">
        <f>AN160*X162</f>
        <v>156.61115999999998</v>
      </c>
      <c r="CG160" s="44">
        <f>AN160*Y162</f>
        <v>313.22231999999997</v>
      </c>
      <c r="CH160" s="44">
        <f>AN160*Z162</f>
        <v>0</v>
      </c>
      <c r="CI160" s="44">
        <f>AN160*AA162</f>
        <v>451.98772954453079</v>
      </c>
      <c r="CJ160" s="44">
        <f>AN160*AB162</f>
        <v>0</v>
      </c>
      <c r="CK160" s="44">
        <f>AN160*AC162</f>
        <v>0</v>
      </c>
      <c r="CL160" s="44">
        <f>AN160*AD162</f>
        <v>131.09194388120176</v>
      </c>
      <c r="CM160" s="44">
        <f>AN160*AE162</f>
        <v>0</v>
      </c>
      <c r="CN160" s="44">
        <f>AN160*AF162</f>
        <v>0</v>
      </c>
      <c r="CO160" s="44">
        <f>AN160*AG162</f>
        <v>0</v>
      </c>
      <c r="CP160" s="44">
        <f>AN160*AH162</f>
        <v>0</v>
      </c>
      <c r="CQ160" s="44">
        <f>AN160*AI162</f>
        <v>1.9507210436646514E-3</v>
      </c>
      <c r="CR160" t="s">
        <v>32</v>
      </c>
      <c r="CS160">
        <v>11635</v>
      </c>
      <c r="CT160" s="117">
        <v>0.15</v>
      </c>
      <c r="CU160">
        <f>CT160*CS160</f>
        <v>1745.25</v>
      </c>
      <c r="CV160" s="16">
        <f>IF(S167&gt;CS160,CU160,CU160-(CS160-S167)*CT160)</f>
        <v>1745.25</v>
      </c>
      <c r="CW160" s="16">
        <f>IF(T167&gt;CS160,CU160,CU160-(CS160-T167)*CT160)</f>
        <v>1745.25</v>
      </c>
      <c r="CX160" s="16">
        <f>IF(U167&gt;CS160,CU160,CU160-(CS160-U167)*CT160)</f>
        <v>1745.25</v>
      </c>
      <c r="CY160" s="16">
        <f>IF(V167&gt;CS160,CU160,CU160-(CS160-V167)*CT160)</f>
        <v>1745.25</v>
      </c>
      <c r="CZ160" s="16">
        <f>IF(W167&gt;CS160,CU160,CU160-(CS160-W167)*CT160)</f>
        <v>1745.25</v>
      </c>
      <c r="DA160" s="16">
        <f>IF(X167&gt;CS160,CU160,CU160-(CS160-X167)*CT160)</f>
        <v>1745.25</v>
      </c>
      <c r="DB160" s="16">
        <f>IF(Y167&gt;CS160,CU160,CU160-(CS160-Y167)*CT160)</f>
        <v>1745.25</v>
      </c>
      <c r="DC160" s="16">
        <f>IF(Z167&gt;CS160,CU160,CU160-(CS160-Z167)*CT160)</f>
        <v>1745.25</v>
      </c>
      <c r="DD160" s="16">
        <f>IF(AA167&gt;CS160,CU160,CU160-(CS160-AA167)*CT160)</f>
        <v>1745.25</v>
      </c>
      <c r="DE160" s="219">
        <f>IF(AB167&gt;CS160,CU160,CU160-(CS160-AB167)*CT160)</f>
        <v>1745.25</v>
      </c>
      <c r="DF160" s="219">
        <f>IF(AC167&gt;CS160,CU160,CU160-(CS160-AC167)*CT160)</f>
        <v>1745.25</v>
      </c>
      <c r="DG160" s="219">
        <f>IF(AD167&gt;CS160,CU160,CU160-(CS160-AD167)*CT160)</f>
        <v>1745.25</v>
      </c>
      <c r="DH160" s="219">
        <f>IF(AE167&gt;CS160,CU160,CU160-(CS160-AE167)*CT160)</f>
        <v>1745.25</v>
      </c>
      <c r="DI160" s="219" t="e">
        <f>IF(AF167&gt;CS160,CU160,CU160-(CS160-AF167)*CT160)</f>
        <v>#VALUE!</v>
      </c>
      <c r="DJ160" s="219">
        <f>IF(AG167&gt;CS160,CU160,CU160-(CS160-AG167)*CT160)</f>
        <v>1745.25</v>
      </c>
      <c r="DK160" s="219" t="e">
        <f>IF(AH167&gt;CS160,CU160,CU160-(CS160-AH167)*CT160)</f>
        <v>#REF!</v>
      </c>
      <c r="DL160" s="219" t="e">
        <f>IF(AI167&gt;CS160,CU160,CU160-(CS160-AI167)*CT160)</f>
        <v>#REF!</v>
      </c>
    </row>
    <row r="161" spans="17:116" ht="15.75" hidden="1" x14ac:dyDescent="0.25">
      <c r="Q161" s="2"/>
      <c r="R161" s="8" t="s">
        <v>35</v>
      </c>
      <c r="S161" s="97">
        <f t="shared" ref="S161:Z161" si="262">1.16*S160</f>
        <v>0</v>
      </c>
      <c r="T161" s="97">
        <f t="shared" si="262"/>
        <v>0</v>
      </c>
      <c r="U161" s="97">
        <f t="shared" si="262"/>
        <v>0</v>
      </c>
      <c r="V161" s="97">
        <f t="shared" si="262"/>
        <v>0</v>
      </c>
      <c r="W161" s="97">
        <f t="shared" si="262"/>
        <v>0</v>
      </c>
      <c r="X161" s="97">
        <f t="shared" si="262"/>
        <v>0</v>
      </c>
      <c r="Y161" s="97">
        <f t="shared" si="262"/>
        <v>0</v>
      </c>
      <c r="Z161" s="97">
        <f t="shared" si="262"/>
        <v>115999.99999999999</v>
      </c>
      <c r="AA161" s="97">
        <f t="shared" ref="AA161:AH161" si="263">1.16*AA160</f>
        <v>0</v>
      </c>
      <c r="AB161" s="97">
        <f t="shared" si="263"/>
        <v>115999.99999999999</v>
      </c>
      <c r="AC161" s="97">
        <f t="shared" si="263"/>
        <v>0</v>
      </c>
      <c r="AD161" s="97">
        <f t="shared" si="263"/>
        <v>115999.99999999999</v>
      </c>
      <c r="AE161" s="97">
        <f t="shared" si="263"/>
        <v>0</v>
      </c>
      <c r="AF161" s="97">
        <f t="shared" si="263"/>
        <v>0</v>
      </c>
      <c r="AG161" s="97">
        <f t="shared" si="263"/>
        <v>399040</v>
      </c>
      <c r="AH161" s="97" t="e">
        <f t="shared" si="263"/>
        <v>#REF!</v>
      </c>
      <c r="AI161" s="97" t="e">
        <f t="shared" ref="AI161" si="264">1.16*AI160</f>
        <v>#REF!</v>
      </c>
      <c r="AK161" s="118">
        <f>AL160+1</f>
        <v>36927</v>
      </c>
      <c r="AL161" s="119">
        <v>46605</v>
      </c>
      <c r="AM161" s="120">
        <v>0.29499999999999998</v>
      </c>
      <c r="AN161" s="122">
        <v>0.12529999999999999</v>
      </c>
      <c r="AO161" s="122">
        <v>0.18529999999999999</v>
      </c>
      <c r="AP161" s="13">
        <f t="shared" si="260"/>
        <v>9678</v>
      </c>
      <c r="AQ161" s="13">
        <f t="shared" si="261"/>
        <v>2855.0099999999998</v>
      </c>
      <c r="AR161" s="97">
        <f>AR160+AQ161</f>
        <v>11606.472</v>
      </c>
      <c r="AS161" s="114">
        <f>AR160+AM161*(S166-AK161)</f>
        <v>12371.996999999999</v>
      </c>
      <c r="AT161" s="114">
        <f>AR160+AM161*(T166-AK161)</f>
        <v>63935.046999999999</v>
      </c>
      <c r="AU161" s="115">
        <f>AR160+AM161*(U166-AK161)</f>
        <v>11158.296200000001</v>
      </c>
      <c r="AV161" s="115">
        <f>AR160+AM161*(V166-AK161)</f>
        <v>66366.507799999992</v>
      </c>
      <c r="AW161" s="115">
        <f>AR160+AM161*(W166-AK161)</f>
        <v>12980.877</v>
      </c>
      <c r="AX161" s="43">
        <f>AR160+AM161*(X166-AK161)</f>
        <v>64543.926999999996</v>
      </c>
      <c r="AY161" s="115">
        <f>AR160+AM161*(Y166-AK161)</f>
        <v>65152.806999999993</v>
      </c>
      <c r="AZ161" s="115">
        <f>AR160+AM161*(Z166-AK161)</f>
        <v>-2142.0030000000006</v>
      </c>
      <c r="BA161" s="115">
        <f>AR160+AM161*(AA166-AK161)</f>
        <v>9732.42742107712</v>
      </c>
      <c r="BB161" s="43">
        <f>AR160+AM161*(AB166-AK161)</f>
        <v>-2142.0030000000006</v>
      </c>
      <c r="BC161" s="43">
        <f>AR160+AM161*(AC166-AK161)</f>
        <v>9657.9969999999994</v>
      </c>
      <c r="BD161" s="43">
        <f>AR160+AM161*(AD166-AK161)</f>
        <v>-1719.4055806098659</v>
      </c>
      <c r="BE161" s="43">
        <f>AR160+AM161*(AE166-AK161)</f>
        <v>9657.9969999999994</v>
      </c>
      <c r="BF161" s="43" t="e">
        <f>AR160+AM161*(AF166-AK161)</f>
        <v>#VALUE!</v>
      </c>
      <c r="BG161" s="43">
        <f>AR160+AM161*(AG166-AK161)</f>
        <v>63935.046999999999</v>
      </c>
      <c r="BH161" s="43">
        <f>AR160+AM161*(AH166-AK161)</f>
        <v>-2142.0030000000006</v>
      </c>
      <c r="BI161" s="43">
        <f>AR160+AM161*(AI166-AK161)</f>
        <v>9657.9969999999994</v>
      </c>
      <c r="BJ161" s="115">
        <f>S160*AO161</f>
        <v>0</v>
      </c>
      <c r="BK161" s="115">
        <f>T160*AO161</f>
        <v>0</v>
      </c>
      <c r="BL161" s="115">
        <f>U160*AO161</f>
        <v>0</v>
      </c>
      <c r="BM161" s="115">
        <f>V160*AO161</f>
        <v>0</v>
      </c>
      <c r="BN161" s="115">
        <f>W160*AO161</f>
        <v>0</v>
      </c>
      <c r="BO161" s="115">
        <f>X160*AO161</f>
        <v>0</v>
      </c>
      <c r="BP161" s="43">
        <f>Y160*AO161</f>
        <v>0</v>
      </c>
      <c r="BQ161" s="43">
        <f>Z160*AO161</f>
        <v>18530</v>
      </c>
      <c r="BR161" s="43">
        <f>AA160*AO161</f>
        <v>0</v>
      </c>
      <c r="BS161" s="43">
        <f>AB160*AO161</f>
        <v>18530</v>
      </c>
      <c r="BT161" s="43">
        <f>AC160*AO161</f>
        <v>0</v>
      </c>
      <c r="BU161" s="43">
        <f>AD160*AO161</f>
        <v>18530</v>
      </c>
      <c r="BV161" s="43">
        <f>AE160*AO161</f>
        <v>0</v>
      </c>
      <c r="BW161" s="43">
        <f>AF160*AO161</f>
        <v>0</v>
      </c>
      <c r="BX161" s="43">
        <f>AG160*AO161</f>
        <v>63743.199999999997</v>
      </c>
      <c r="BY161" s="43" t="e">
        <f>AH160*AO161</f>
        <v>#REF!</v>
      </c>
      <c r="BZ161" s="43" t="e">
        <f>AI160*AO161</f>
        <v>#REF!</v>
      </c>
      <c r="CA161" s="44">
        <f>AN161*S162</f>
        <v>0</v>
      </c>
      <c r="CB161" s="44">
        <f>AN161*T162</f>
        <v>0</v>
      </c>
      <c r="CC161" s="44">
        <f>AN161*U162</f>
        <v>866.3743199999999</v>
      </c>
      <c r="CD161" s="44">
        <f>AN161*V162</f>
        <v>0</v>
      </c>
      <c r="CE161" s="44">
        <f>AN161*W162</f>
        <v>433.18715999999995</v>
      </c>
      <c r="CF161" s="44">
        <f>AN161*X162</f>
        <v>433.18715999999995</v>
      </c>
      <c r="CG161" s="44">
        <f>AN161*Y162</f>
        <v>866.3743199999999</v>
      </c>
      <c r="CH161" s="44">
        <f>AN161*Z162</f>
        <v>0</v>
      </c>
      <c r="CI161" s="44">
        <f>AN161*AA162</f>
        <v>1250.2000554509868</v>
      </c>
      <c r="CJ161" s="44">
        <f>AN161*AB162</f>
        <v>0</v>
      </c>
      <c r="CK161" s="44">
        <f>AN161*AC162</f>
        <v>0</v>
      </c>
      <c r="CL161" s="44">
        <f>AN161*AD162</f>
        <v>362.60089554778318</v>
      </c>
      <c r="CM161" s="44">
        <f>AN161*AE162</f>
        <v>0</v>
      </c>
      <c r="CN161" s="44">
        <f>AN161*AF162</f>
        <v>0</v>
      </c>
      <c r="CO161" s="44">
        <f>AN161*AG162</f>
        <v>0</v>
      </c>
      <c r="CP161" s="44">
        <f>AN161*AH162</f>
        <v>0</v>
      </c>
      <c r="CQ161" s="44">
        <f>AN161*AI162</f>
        <v>5.3957030192313647E-3</v>
      </c>
      <c r="CR161" t="s">
        <v>36</v>
      </c>
      <c r="CS161">
        <v>8978</v>
      </c>
      <c r="CT161" s="117">
        <v>8.6999999999999994E-2</v>
      </c>
      <c r="CU161">
        <f>CT161*CS161</f>
        <v>781.0859999999999</v>
      </c>
      <c r="CV161" s="16">
        <f>IF(S167&gt;CS161,CU161,CU161-(CS161-S167)*CT161)</f>
        <v>781.0859999999999</v>
      </c>
      <c r="CW161" s="16">
        <f>IF(T167&gt;CS161,CU161,CU161-(CS161-T167)*CT161)</f>
        <v>781.0859999999999</v>
      </c>
      <c r="CX161" s="16">
        <f>IF(U167&gt;CS161,CU161,CU161-(CS161-U167)*CT161)</f>
        <v>781.0859999999999</v>
      </c>
      <c r="CY161" s="16">
        <f>IF(V167&gt;CS161,CU161,CU161-(CS161-V167)*CT161)</f>
        <v>781.0859999999999</v>
      </c>
      <c r="CZ161" s="16">
        <f>IF(W167&gt;CS161,CU161,CU161-(CS161-W167)*CT161)</f>
        <v>781.0859999999999</v>
      </c>
      <c r="DA161" s="16">
        <f>IF(X167&gt;CS161,CU161,CU161-(CS161-X167)*CT161)</f>
        <v>781.0859999999999</v>
      </c>
      <c r="DB161" s="16">
        <f>IF(Y167&gt;CS161,CU161,CU161-(CS161-Y167)*CT161)</f>
        <v>781.0859999999999</v>
      </c>
      <c r="DC161" s="16">
        <f>IF(Z167&gt;CS161,CU161,CU161-(CS161-Z167)*CT161)</f>
        <v>781.0859999999999</v>
      </c>
      <c r="DD161" s="16">
        <f>IF(AA167&gt;CS161,CU161,CU161-(CS161-AA167)*CT161)</f>
        <v>781.0859999999999</v>
      </c>
      <c r="DE161" s="219">
        <f>IF(AB167&gt;CS161,CU161,CU161-(CS161-AB167)*CT161)</f>
        <v>781.0859999999999</v>
      </c>
      <c r="DF161" s="219">
        <f>IF(AC167&gt;CS161,CU161,CU161-(CS161-AC167)*CT161)</f>
        <v>781.0859999999999</v>
      </c>
      <c r="DG161" s="219">
        <f>IF(AD167&gt;CS161,CU161,CU161-(CS161-AD167)*CT161)</f>
        <v>781.0859999999999</v>
      </c>
      <c r="DH161" s="219">
        <f>IF(AE167&gt;CS161,CU161,CU161-(CS161-AE167)*CT161)</f>
        <v>781.0859999999999</v>
      </c>
      <c r="DI161" s="219" t="e">
        <f>IF(AF167&gt;CS161,CU161,CU161-(CS161-AF167)*CT161)</f>
        <v>#VALUE!</v>
      </c>
      <c r="DJ161" s="219">
        <f>IF(AG167&gt;CS161,CU161,CU161-(CS161-AG167)*CT161)</f>
        <v>781.0859999999999</v>
      </c>
      <c r="DK161" s="219" t="e">
        <f>IF(AH167&gt;CS161,CU161,CU161-(CS161-AH167)*CT161)</f>
        <v>#REF!</v>
      </c>
      <c r="DL161" s="219" t="e">
        <f>IF(AI167&gt;CS161,CU161,CU161-(CS161-AI167)*CT161)</f>
        <v>#REF!</v>
      </c>
    </row>
    <row r="162" spans="17:116" ht="15.75" hidden="1" x14ac:dyDescent="0.25">
      <c r="Q162" s="2"/>
      <c r="R162" s="8" t="s">
        <v>38</v>
      </c>
      <c r="S162" s="97">
        <f t="shared" ref="S162:Z162" si="265">S145</f>
        <v>0</v>
      </c>
      <c r="T162" s="97">
        <f t="shared" si="265"/>
        <v>0</v>
      </c>
      <c r="U162" s="97">
        <f t="shared" si="265"/>
        <v>6914.4</v>
      </c>
      <c r="V162" s="97">
        <f t="shared" si="265"/>
        <v>0</v>
      </c>
      <c r="W162" s="97">
        <f t="shared" si="265"/>
        <v>3457.2</v>
      </c>
      <c r="X162" s="97">
        <f t="shared" si="265"/>
        <v>3457.2</v>
      </c>
      <c r="Y162" s="97">
        <f t="shared" si="265"/>
        <v>6914.4</v>
      </c>
      <c r="Z162" s="97">
        <f t="shared" si="265"/>
        <v>0</v>
      </c>
      <c r="AA162" s="97">
        <f t="shared" ref="AA162:AH162" si="266">AA145</f>
        <v>9977.6540738307012</v>
      </c>
      <c r="AB162" s="97">
        <f t="shared" si="266"/>
        <v>0</v>
      </c>
      <c r="AC162" s="97">
        <f t="shared" si="266"/>
        <v>0</v>
      </c>
      <c r="AD162" s="97">
        <f t="shared" si="266"/>
        <v>2893.8618958322681</v>
      </c>
      <c r="AE162" s="97">
        <f t="shared" si="266"/>
        <v>0</v>
      </c>
      <c r="AF162" s="97">
        <f t="shared" si="266"/>
        <v>0</v>
      </c>
      <c r="AG162" s="97">
        <f t="shared" si="266"/>
        <v>0</v>
      </c>
      <c r="AH162" s="97">
        <f t="shared" si="266"/>
        <v>0</v>
      </c>
      <c r="AI162" s="97">
        <f t="shared" ref="AI162" si="267">AI145</f>
        <v>4.3062274694583916E-2</v>
      </c>
      <c r="AK162" s="67">
        <f t="shared" ref="AK162:AK168" si="268">AL161+1</f>
        <v>46606</v>
      </c>
      <c r="AL162" s="123">
        <v>73852</v>
      </c>
      <c r="AM162" s="111">
        <v>0.35</v>
      </c>
      <c r="AN162" s="113">
        <v>0.20119999999999999</v>
      </c>
      <c r="AO162" s="113">
        <v>0.24909999999999999</v>
      </c>
      <c r="AP162" s="13">
        <f t="shared" si="260"/>
        <v>27246</v>
      </c>
      <c r="AQ162" s="13">
        <f t="shared" si="261"/>
        <v>9536.0999999999985</v>
      </c>
      <c r="AR162" s="97">
        <f t="shared" ref="AR162:AR167" si="269">AR161+AQ162</f>
        <v>21142.572</v>
      </c>
      <c r="AS162" s="114">
        <f>AR161+AM162*(S166-AK162)</f>
        <v>12514.371999999999</v>
      </c>
      <c r="AT162" s="114">
        <f>AR161+AM162*(T166-AK162)</f>
        <v>73690.871999999988</v>
      </c>
      <c r="AU162" s="115">
        <f>AR161+AM162*(U166-AK162)</f>
        <v>11074.388000000001</v>
      </c>
      <c r="AV162" s="115">
        <f>AR161+AM162*(V166-AK162)</f>
        <v>76575.655999999988</v>
      </c>
      <c r="AW162" s="115">
        <f>AR161+AM162*(W166-AK162)</f>
        <v>13236.771999999999</v>
      </c>
      <c r="AX162" s="43">
        <f>AS161+AM162*(X166-AK162)</f>
        <v>75178.796999999991</v>
      </c>
      <c r="AY162" s="115">
        <f>AR161+AM162*(Y166-AK162)</f>
        <v>75135.671999999991</v>
      </c>
      <c r="AZ162" s="115">
        <f>AR161+AM162*(Z166-AK162)</f>
        <v>-4705.6279999999988</v>
      </c>
      <c r="BA162" s="115">
        <f>AR161+AM162*(AA166-AK162)</f>
        <v>9382.679279244041</v>
      </c>
      <c r="BB162" s="43">
        <f>AR161+AM162*(AB166-AK162)</f>
        <v>-4705.6279999999988</v>
      </c>
      <c r="BC162" s="43">
        <f>AR161+AM162*(AC166-AK162)</f>
        <v>9294.3719999999994</v>
      </c>
      <c r="BD162" s="43">
        <f>AR161+AM162*(AD166-AK162)</f>
        <v>-4204.2412312320448</v>
      </c>
      <c r="BE162" s="43">
        <f>AR161+AM162*(AE166-AK162)</f>
        <v>9294.3719999999994</v>
      </c>
      <c r="BF162" s="43" t="e">
        <f>AR161+AM162*(AF166-AK162)</f>
        <v>#VALUE!</v>
      </c>
      <c r="BG162" s="43">
        <f>AR161+AM162*(AG166-AK162)</f>
        <v>73690.871999999988</v>
      </c>
      <c r="BH162" s="43">
        <f>AR161+AM162*(AH166-AK162)</f>
        <v>-4705.6279999999988</v>
      </c>
      <c r="BI162" s="43">
        <f>AR161+AM162*(AI166-AK162)</f>
        <v>9294.3719999999994</v>
      </c>
      <c r="BJ162" s="115">
        <f>S160*AO162</f>
        <v>0</v>
      </c>
      <c r="BK162" s="147">
        <f>T160*AO162</f>
        <v>0</v>
      </c>
      <c r="BL162" s="115">
        <f>U160*AO162</f>
        <v>0</v>
      </c>
      <c r="BM162" s="115">
        <f>V160*AO162</f>
        <v>0</v>
      </c>
      <c r="BN162" s="115">
        <f>W160*AO162</f>
        <v>0</v>
      </c>
      <c r="BO162" s="115">
        <f>X160*AO162</f>
        <v>0</v>
      </c>
      <c r="BP162" s="43">
        <f>Y160*AO162</f>
        <v>0</v>
      </c>
      <c r="BQ162" s="43">
        <f>Z160*AO162</f>
        <v>24910</v>
      </c>
      <c r="BR162" s="43">
        <f>AA160*AO162</f>
        <v>0</v>
      </c>
      <c r="BS162" s="43">
        <f>AB160*AO162</f>
        <v>24910</v>
      </c>
      <c r="BT162" s="43">
        <f>AC160*AO162</f>
        <v>0</v>
      </c>
      <c r="BU162" s="43">
        <f>AD160*AO162</f>
        <v>24910</v>
      </c>
      <c r="BV162" s="43">
        <f>AE160*AO162</f>
        <v>0</v>
      </c>
      <c r="BW162" s="43">
        <f>AF160*AO162</f>
        <v>0</v>
      </c>
      <c r="BX162" s="43">
        <f>AG160*AO162</f>
        <v>85690.4</v>
      </c>
      <c r="BY162" s="43" t="e">
        <f>AH160*AO162</f>
        <v>#REF!</v>
      </c>
      <c r="BZ162" s="43" t="e">
        <f>AI160*AO162</f>
        <v>#REF!</v>
      </c>
      <c r="CA162" s="44">
        <f>AN162*S162</f>
        <v>0</v>
      </c>
      <c r="CB162" s="44">
        <f>AN162*T162</f>
        <v>0</v>
      </c>
      <c r="CC162" s="44">
        <f>AN162*U162</f>
        <v>1391.1772799999999</v>
      </c>
      <c r="CD162" s="44">
        <f>AN162*V162</f>
        <v>0</v>
      </c>
      <c r="CE162" s="44">
        <f>AN162*W162</f>
        <v>695.58863999999994</v>
      </c>
      <c r="CF162" s="44">
        <f>AN162*X162</f>
        <v>695.58863999999994</v>
      </c>
      <c r="CG162" s="44">
        <f>AN162*Y162</f>
        <v>1391.1772799999999</v>
      </c>
      <c r="CH162" s="44">
        <f>AN162*Z162</f>
        <v>0</v>
      </c>
      <c r="CI162" s="44">
        <f>AN162*AA162</f>
        <v>2007.5039996547371</v>
      </c>
      <c r="CJ162" s="44">
        <f>AN162*AB162</f>
        <v>0</v>
      </c>
      <c r="CK162" s="44">
        <f>AN162*AC162</f>
        <v>0</v>
      </c>
      <c r="CL162" s="44">
        <f>AN162*AD162</f>
        <v>582.24501344145233</v>
      </c>
      <c r="CM162" s="44">
        <f>AN162*AE162</f>
        <v>0</v>
      </c>
      <c r="CN162" s="44">
        <f>AN162*AF162</f>
        <v>0</v>
      </c>
      <c r="CO162" s="44">
        <f>AN162*AG162</f>
        <v>0</v>
      </c>
      <c r="CP162" s="44">
        <f>AN162*AH162</f>
        <v>0</v>
      </c>
      <c r="CQ162" s="44">
        <f>AN162*AI162</f>
        <v>8.6641296685502842E-3</v>
      </c>
    </row>
    <row r="163" spans="17:116" ht="15.75" hidden="1" x14ac:dyDescent="0.25">
      <c r="Q163" s="2"/>
      <c r="R163" s="8" t="s">
        <v>39</v>
      </c>
      <c r="S163" s="97">
        <f t="shared" ref="S163:Z163" si="270">S162*1.38</f>
        <v>0</v>
      </c>
      <c r="T163" s="97">
        <f t="shared" si="270"/>
        <v>0</v>
      </c>
      <c r="U163" s="97">
        <f t="shared" si="270"/>
        <v>9541.8719999999994</v>
      </c>
      <c r="V163" s="97">
        <f t="shared" si="270"/>
        <v>0</v>
      </c>
      <c r="W163" s="97">
        <f t="shared" si="270"/>
        <v>4770.9359999999997</v>
      </c>
      <c r="X163" s="97">
        <f t="shared" si="270"/>
        <v>4770.9359999999997</v>
      </c>
      <c r="Y163" s="97">
        <f t="shared" si="270"/>
        <v>9541.8719999999994</v>
      </c>
      <c r="Z163" s="97">
        <f t="shared" si="270"/>
        <v>0</v>
      </c>
      <c r="AA163" s="97">
        <f t="shared" ref="AA163:AH163" si="271">AA162*1.38</f>
        <v>13769.162621886366</v>
      </c>
      <c r="AB163" s="97">
        <f t="shared" si="271"/>
        <v>0</v>
      </c>
      <c r="AC163" s="97">
        <f t="shared" si="271"/>
        <v>0</v>
      </c>
      <c r="AD163" s="97">
        <f t="shared" si="271"/>
        <v>3993.5294162485297</v>
      </c>
      <c r="AE163" s="97">
        <f t="shared" si="271"/>
        <v>0</v>
      </c>
      <c r="AF163" s="97">
        <f t="shared" si="271"/>
        <v>0</v>
      </c>
      <c r="AG163" s="97">
        <f t="shared" si="271"/>
        <v>0</v>
      </c>
      <c r="AH163" s="97">
        <f t="shared" si="271"/>
        <v>0</v>
      </c>
      <c r="AI163" s="97">
        <f t="shared" ref="AI163" si="272">AI162*1.38</f>
        <v>5.9425939078525801E-2</v>
      </c>
      <c r="AK163" s="118">
        <f t="shared" si="268"/>
        <v>73853</v>
      </c>
      <c r="AL163" s="119">
        <v>93208</v>
      </c>
      <c r="AM163" s="120">
        <v>0.36299999999999999</v>
      </c>
      <c r="AN163" s="122">
        <v>0.21909999999999999</v>
      </c>
      <c r="AO163" s="122">
        <v>0.2641</v>
      </c>
      <c r="AP163" s="13">
        <f t="shared" si="260"/>
        <v>19355</v>
      </c>
      <c r="AQ163" s="13">
        <f t="shared" si="261"/>
        <v>7025.8649999999998</v>
      </c>
      <c r="AR163" s="97">
        <f t="shared" si="269"/>
        <v>28168.436999999998</v>
      </c>
      <c r="AS163" s="114">
        <f>AR162+AM163*(S166-AK163)</f>
        <v>12193.533000000001</v>
      </c>
      <c r="AT163" s="114">
        <f>AR162+AM163*(T166-AK163)</f>
        <v>75642.303</v>
      </c>
      <c r="AU163" s="115">
        <f>AR162+AM163*(U166-AK163)</f>
        <v>10700.063880000002</v>
      </c>
      <c r="AV163" s="115">
        <f>AR162+AM163*(V166-AK163)</f>
        <v>78634.236119999987</v>
      </c>
      <c r="AW163" s="115">
        <f>AR162+AM163*(W166-AK163)</f>
        <v>12942.765000000001</v>
      </c>
      <c r="AX163" s="43">
        <f>AR162+AM163*(X166-AK163)</f>
        <v>76391.535000000003</v>
      </c>
      <c r="AY163" s="115">
        <f>AR162+AM163*(Y166-AK163)</f>
        <v>77140.766999999993</v>
      </c>
      <c r="AZ163" s="115">
        <f>AR162+AM163*(Z166-AK163)</f>
        <v>-5666.0669999999991</v>
      </c>
      <c r="BA163" s="115">
        <f>AR162+AM163*(AA166-AK163)</f>
        <v>8945.5202639016788</v>
      </c>
      <c r="BB163" s="43">
        <f>AR162+AM163*(AB166-AK163)</f>
        <v>-5666.0669999999991</v>
      </c>
      <c r="BC163" s="43">
        <f>AR162+AM163*(AC166-AK163)</f>
        <v>8853.9330000000009</v>
      </c>
      <c r="BD163" s="43">
        <f>AR162+AM163*(AD166-AK163)</f>
        <v>-5146.0572941063801</v>
      </c>
      <c r="BE163" s="43">
        <f>AR162+AM163*(AE166-AK163)</f>
        <v>8853.9330000000009</v>
      </c>
      <c r="BF163" s="43" t="e">
        <f>AR162+AM163*(AF166-AK163)</f>
        <v>#VALUE!</v>
      </c>
      <c r="BG163" s="43">
        <f>AR162+AM163*(AG166-AK163)</f>
        <v>75642.303</v>
      </c>
      <c r="BH163" s="43">
        <f>AR162+AM163*(AH166-AK163)</f>
        <v>-5666.0669999999991</v>
      </c>
      <c r="BI163" s="43">
        <f>AR162+AM163*(AI166-AK163)</f>
        <v>8853.9330000000009</v>
      </c>
      <c r="BJ163" s="115">
        <f>S160*AO163</f>
        <v>0</v>
      </c>
      <c r="BK163" s="147">
        <f>T160*AO163</f>
        <v>0</v>
      </c>
      <c r="BL163" s="115">
        <f>U160*AO163</f>
        <v>0</v>
      </c>
      <c r="BM163" s="115">
        <f>V160*AO163</f>
        <v>0</v>
      </c>
      <c r="BN163" s="115">
        <f>W160*AO163</f>
        <v>0</v>
      </c>
      <c r="BO163" s="115">
        <f>X160*AP163</f>
        <v>0</v>
      </c>
      <c r="BP163" s="43">
        <f>Y160*AO163</f>
        <v>0</v>
      </c>
      <c r="BQ163" s="43">
        <f>Z160*AO163</f>
        <v>26410</v>
      </c>
      <c r="BR163" s="43">
        <f>AA160*AO163</f>
        <v>0</v>
      </c>
      <c r="BS163" s="43">
        <f>AB160*AO163</f>
        <v>26410</v>
      </c>
      <c r="BT163" s="43">
        <f>AC160*AO163</f>
        <v>0</v>
      </c>
      <c r="BU163" s="43">
        <f>AD160*AO163</f>
        <v>26410</v>
      </c>
      <c r="BV163" s="43">
        <f>AE160*AO163</f>
        <v>0</v>
      </c>
      <c r="BW163" s="43">
        <f>AF160*AO163</f>
        <v>0</v>
      </c>
      <c r="BX163" s="43">
        <f>AG160*AO163</f>
        <v>90850.4</v>
      </c>
      <c r="BY163" s="43" t="e">
        <f>AH160*AO163</f>
        <v>#REF!</v>
      </c>
      <c r="BZ163" s="43" t="e">
        <f>AI160*AO163</f>
        <v>#REF!</v>
      </c>
      <c r="CA163" s="44">
        <f>AN163*S162</f>
        <v>0</v>
      </c>
      <c r="CB163" s="44">
        <f>AN163*T162</f>
        <v>0</v>
      </c>
      <c r="CC163" s="44">
        <f>AN163*U162</f>
        <v>1514.9450399999998</v>
      </c>
      <c r="CD163" s="44">
        <f>AN163*V162</f>
        <v>0</v>
      </c>
      <c r="CE163" s="44">
        <f>AN163*W162</f>
        <v>757.47251999999992</v>
      </c>
      <c r="CF163" s="44">
        <f>AN163*X162</f>
        <v>757.47251999999992</v>
      </c>
      <c r="CG163" s="44">
        <f>AN163*Y162</f>
        <v>1514.9450399999998</v>
      </c>
      <c r="CH163" s="44">
        <f>AN163*Z162</f>
        <v>0</v>
      </c>
      <c r="CI163" s="44">
        <f>AN163*AA162</f>
        <v>2186.1040075763067</v>
      </c>
      <c r="CJ163" s="44">
        <f>AN163*AB162</f>
        <v>0</v>
      </c>
      <c r="CK163" s="44">
        <f>AN163*AC162</f>
        <v>0</v>
      </c>
      <c r="CL163" s="44">
        <f>AN163*AD162</f>
        <v>634.04514137684987</v>
      </c>
      <c r="CM163" s="44">
        <f>AN163*AE162</f>
        <v>0</v>
      </c>
      <c r="CN163" s="44">
        <f>AN163*AF162</f>
        <v>0</v>
      </c>
      <c r="CO163" s="44">
        <f>AN163*AG162</f>
        <v>0</v>
      </c>
      <c r="CP163" s="44">
        <f>AN163*AH162</f>
        <v>0</v>
      </c>
      <c r="CQ163" s="44">
        <f>AN163*AI162</f>
        <v>9.434944385583335E-3</v>
      </c>
    </row>
    <row r="164" spans="17:116" ht="15.75" hidden="1" x14ac:dyDescent="0.25">
      <c r="Q164" s="2"/>
      <c r="R164" s="8" t="s">
        <v>40</v>
      </c>
      <c r="S164" s="97">
        <f t="shared" ref="S164:Z165" si="273">S147</f>
        <v>0</v>
      </c>
      <c r="T164" s="97">
        <f t="shared" si="273"/>
        <v>0</v>
      </c>
      <c r="U164" s="97">
        <f t="shared" si="273"/>
        <v>0</v>
      </c>
      <c r="V164" s="97">
        <f t="shared" si="273"/>
        <v>0</v>
      </c>
      <c r="W164" s="97">
        <f t="shared" si="273"/>
        <v>0</v>
      </c>
      <c r="X164" s="97">
        <f t="shared" si="273"/>
        <v>0</v>
      </c>
      <c r="Y164" s="97">
        <f t="shared" si="273"/>
        <v>0</v>
      </c>
      <c r="Z164" s="97">
        <f t="shared" si="273"/>
        <v>0</v>
      </c>
      <c r="AA164" s="97">
        <f t="shared" ref="AA164:AH165" si="274">AA147</f>
        <v>504.6130242516665</v>
      </c>
      <c r="AB164" s="97">
        <f t="shared" si="274"/>
        <v>0</v>
      </c>
      <c r="AC164" s="97">
        <f t="shared" si="274"/>
        <v>0</v>
      </c>
      <c r="AD164" s="97">
        <f t="shared" si="274"/>
        <v>2865.0672501025942</v>
      </c>
      <c r="AE164" s="97">
        <f t="shared" si="274"/>
        <v>0</v>
      </c>
      <c r="AF164" s="97" t="str">
        <f t="shared" si="274"/>
        <v>Total Drag</v>
      </c>
      <c r="AG164" s="97">
        <f t="shared" si="274"/>
        <v>0</v>
      </c>
      <c r="AH164" s="97">
        <f t="shared" si="274"/>
        <v>0</v>
      </c>
      <c r="AI164" s="97">
        <f t="shared" ref="AI164" si="275">AI147</f>
        <v>0</v>
      </c>
      <c r="AK164" s="67">
        <f t="shared" si="268"/>
        <v>93209</v>
      </c>
      <c r="AL164" s="123">
        <v>131850</v>
      </c>
      <c r="AM164" s="111">
        <v>0.41799999999999998</v>
      </c>
      <c r="AN164" s="113">
        <v>0.29499999999999998</v>
      </c>
      <c r="AO164" s="113">
        <v>0.32790000000000002</v>
      </c>
      <c r="AP164" s="13">
        <f t="shared" si="260"/>
        <v>38641</v>
      </c>
      <c r="AQ164" s="13">
        <f t="shared" si="261"/>
        <v>16151.938</v>
      </c>
      <c r="AR164" s="97">
        <f t="shared" si="269"/>
        <v>44320.375</v>
      </c>
      <c r="AS164" s="114">
        <f>AR163+AM164*(S166-AK164)</f>
        <v>9772.6749999999993</v>
      </c>
      <c r="AT164" s="114">
        <f>AR163+AM164*(T166-AK164)</f>
        <v>82834.89499999999</v>
      </c>
      <c r="AU164" s="115">
        <f>AR163+AM164*(U166-AK164)</f>
        <v>8052.9226799999997</v>
      </c>
      <c r="AV164" s="115">
        <f>AR163+AM164*(V166-AK164)</f>
        <v>86280.15131999999</v>
      </c>
      <c r="AW164" s="115">
        <f>AR163+AM164*(W166-AK164)</f>
        <v>10635.427</v>
      </c>
      <c r="AX164" s="43">
        <f>AR163+AM164*(X166-AK164)</f>
        <v>83697.646999999997</v>
      </c>
      <c r="AY164" s="115">
        <f>AR163+AM164*(Y166-AK164)</f>
        <v>84560.399000000005</v>
      </c>
      <c r="AZ164" s="115">
        <f>AR163+AM164*(Z166-AK164)</f>
        <v>-10792.925000000003</v>
      </c>
      <c r="BA164" s="115">
        <f>AR163+AM164*(AA166-AK164)</f>
        <v>6032.539122068596</v>
      </c>
      <c r="BB164" s="43">
        <f>AR163+AM164*(AB166-AK164)</f>
        <v>-10792.925000000003</v>
      </c>
      <c r="BC164" s="43">
        <f>AR163+AM164*(AC166-AK164)</f>
        <v>5927.0750000000007</v>
      </c>
      <c r="BD164" s="43">
        <f>AR163+AM164*(AD166-AK164)</f>
        <v>-10194.125944728563</v>
      </c>
      <c r="BE164" s="43">
        <f>AR163+AM164*(AE166-AK164)</f>
        <v>5927.0750000000007</v>
      </c>
      <c r="BF164" s="43" t="e">
        <f>AR163+AM164*(AF166-AK164)</f>
        <v>#VALUE!</v>
      </c>
      <c r="BG164" s="43">
        <f>AR163+AM164*(AG166-AK164)</f>
        <v>82834.89499999999</v>
      </c>
      <c r="BH164" s="43">
        <f>AR163+AM164*(AH166-AK164)</f>
        <v>-10792.925000000003</v>
      </c>
      <c r="BI164" s="43">
        <f>AR163+AM164*(AI166-AK164)</f>
        <v>5927.0750000000007</v>
      </c>
      <c r="BJ164" s="115">
        <f>S160*AO164</f>
        <v>0</v>
      </c>
      <c r="BK164" s="115">
        <f>T160*AO164</f>
        <v>0</v>
      </c>
      <c r="BL164" s="115">
        <f>U160*AO164</f>
        <v>0</v>
      </c>
      <c r="BM164" s="115">
        <f>V160*AO164</f>
        <v>0</v>
      </c>
      <c r="BN164" s="115">
        <f>W160*AO164</f>
        <v>0</v>
      </c>
      <c r="BO164" s="115">
        <f>X160*AO164</f>
        <v>0</v>
      </c>
      <c r="BP164" s="43">
        <f>Y160*AO164</f>
        <v>0</v>
      </c>
      <c r="BQ164" s="43">
        <f>Z160*AO164</f>
        <v>32790</v>
      </c>
      <c r="BR164" s="43">
        <f>AA160*AO164</f>
        <v>0</v>
      </c>
      <c r="BS164" s="43">
        <f>AB160*AO164</f>
        <v>32790</v>
      </c>
      <c r="BT164" s="43">
        <f>AC160*AO164</f>
        <v>0</v>
      </c>
      <c r="BU164" s="43">
        <f>AD160*AO164</f>
        <v>32790</v>
      </c>
      <c r="BV164" s="43">
        <f>AE160*AO164</f>
        <v>0</v>
      </c>
      <c r="BW164" s="43">
        <f>AF160*AO164</f>
        <v>0</v>
      </c>
      <c r="BX164" s="43">
        <f>AG160*AO164</f>
        <v>112797.6</v>
      </c>
      <c r="BY164" s="43" t="e">
        <f>AH160*AO164</f>
        <v>#REF!</v>
      </c>
      <c r="BZ164" s="43" t="e">
        <f>AI160*AO164</f>
        <v>#REF!</v>
      </c>
      <c r="CA164" s="44">
        <f>AN164*S162</f>
        <v>0</v>
      </c>
      <c r="CB164" s="44">
        <f>AN164*T162</f>
        <v>0</v>
      </c>
      <c r="CC164" s="44">
        <f>AN164*U162</f>
        <v>2039.7479999999998</v>
      </c>
      <c r="CD164" s="44">
        <f>AN164*V162</f>
        <v>0</v>
      </c>
      <c r="CE164" s="44">
        <f>AN164*W162</f>
        <v>1019.8739999999999</v>
      </c>
      <c r="CF164" s="44">
        <f>AN164*X162</f>
        <v>1019.8739999999999</v>
      </c>
      <c r="CG164" s="44">
        <f>AN164*Y162</f>
        <v>2039.7479999999998</v>
      </c>
      <c r="CH164" s="44">
        <f>AN164*Z162</f>
        <v>0</v>
      </c>
      <c r="CI164" s="44">
        <f>AN164*AA162</f>
        <v>2943.4079517800569</v>
      </c>
      <c r="CJ164" s="44">
        <f>AN164*AB162</f>
        <v>0</v>
      </c>
      <c r="CK164" s="44">
        <f>AN164*AC162</f>
        <v>0</v>
      </c>
      <c r="CL164" s="44">
        <f>AN164*AD162</f>
        <v>853.68925927051907</v>
      </c>
      <c r="CM164" s="44">
        <f>AN164*AE162</f>
        <v>0</v>
      </c>
      <c r="CN164" s="44">
        <f>AN164*AF162</f>
        <v>0</v>
      </c>
      <c r="CO164" s="44">
        <f>AN164*AG162</f>
        <v>0</v>
      </c>
      <c r="CP164" s="44">
        <f>AN164*AH162</f>
        <v>0</v>
      </c>
      <c r="CQ164" s="44">
        <f>AN164*AI162</f>
        <v>1.2703371034902254E-2</v>
      </c>
    </row>
    <row r="165" spans="17:116" ht="15.75" hidden="1" x14ac:dyDescent="0.25">
      <c r="Q165" s="2"/>
      <c r="R165" s="8" t="s">
        <v>41</v>
      </c>
      <c r="S165" s="97">
        <f t="shared" si="273"/>
        <v>0</v>
      </c>
      <c r="T165" s="97">
        <f t="shared" si="273"/>
        <v>0</v>
      </c>
      <c r="U165" s="97">
        <f t="shared" si="273"/>
        <v>0</v>
      </c>
      <c r="V165" s="97">
        <f t="shared" si="273"/>
        <v>0</v>
      </c>
      <c r="W165" s="97">
        <f t="shared" si="273"/>
        <v>0</v>
      </c>
      <c r="X165" s="97">
        <f t="shared" si="273"/>
        <v>0</v>
      </c>
      <c r="Y165" s="97">
        <f t="shared" si="273"/>
        <v>0</v>
      </c>
      <c r="Z165" s="97">
        <f t="shared" si="273"/>
        <v>0</v>
      </c>
      <c r="AA165" s="97">
        <f t="shared" si="274"/>
        <v>252.30651212583325</v>
      </c>
      <c r="AB165" s="97">
        <f t="shared" si="274"/>
        <v>0</v>
      </c>
      <c r="AC165" s="97">
        <f t="shared" si="274"/>
        <v>0</v>
      </c>
      <c r="AD165" s="97">
        <f t="shared" si="274"/>
        <v>1432.5336250512971</v>
      </c>
      <c r="AE165" s="97">
        <f t="shared" si="274"/>
        <v>0</v>
      </c>
      <c r="AF165" s="97" t="e">
        <f t="shared" si="274"/>
        <v>#VALUE!</v>
      </c>
      <c r="AG165" s="97">
        <f t="shared" si="274"/>
        <v>0</v>
      </c>
      <c r="AH165" s="97">
        <f t="shared" si="274"/>
        <v>0</v>
      </c>
      <c r="AI165" s="97">
        <f t="shared" ref="AI165" si="276">AI148</f>
        <v>0</v>
      </c>
      <c r="AJ165" s="16" t="s">
        <v>67</v>
      </c>
      <c r="AK165" s="118">
        <f t="shared" si="268"/>
        <v>131851</v>
      </c>
      <c r="AL165" s="119">
        <v>144489</v>
      </c>
      <c r="AM165" s="120">
        <v>0.433</v>
      </c>
      <c r="AN165" s="122">
        <v>0.31569999999999998</v>
      </c>
      <c r="AO165" s="122">
        <v>0.3453</v>
      </c>
      <c r="AP165" s="13">
        <f t="shared" si="260"/>
        <v>12638</v>
      </c>
      <c r="AQ165" s="13">
        <f t="shared" si="261"/>
        <v>5472.2539999999999</v>
      </c>
      <c r="AR165" s="97">
        <f t="shared" si="269"/>
        <v>49792.629000000001</v>
      </c>
      <c r="AS165" s="114">
        <f>AR164+AM165*(S166-AK165)</f>
        <v>8532.4919999999984</v>
      </c>
      <c r="AT165" s="114">
        <f>AR164+AM165*(T166-AK165)</f>
        <v>84216.562000000005</v>
      </c>
      <c r="AU165" s="115">
        <f>AR164+AM165*(U166-AK165)</f>
        <v>6751.0260800000033</v>
      </c>
      <c r="AV165" s="115">
        <f>AR164+AM165*(V166-AK165)</f>
        <v>87785.451919999992</v>
      </c>
      <c r="AW165" s="115">
        <f>AR164+AM165*(W166-AK165)</f>
        <v>9426.2039999999979</v>
      </c>
      <c r="AX165" s="43">
        <f>AR164+AM165*(X166-AK165)</f>
        <v>85110.274000000005</v>
      </c>
      <c r="AY165" s="115">
        <f>AR164+AM165*(Y166-AK165)</f>
        <v>86003.986000000004</v>
      </c>
      <c r="AZ165" s="115">
        <f>AR164+AM165*(Z166-AK165)</f>
        <v>-12771.108</v>
      </c>
      <c r="BA165" s="115">
        <f>AR164+AM165*(AA166-AK165)</f>
        <v>4658.1407197504814</v>
      </c>
      <c r="BB165" s="43">
        <f>AR164+AM165*(AB166-AK165)</f>
        <v>-12771.108</v>
      </c>
      <c r="BC165" s="43">
        <f>AR164+AM165*(AC166-AK165)</f>
        <v>4548.8919999999998</v>
      </c>
      <c r="BD165" s="43">
        <f>AR164+AM165*(AD166-AK165)</f>
        <v>-12150.820940352787</v>
      </c>
      <c r="BE165" s="43">
        <f>AR164+AM165*(AE166-AK165)</f>
        <v>4548.8919999999998</v>
      </c>
      <c r="BF165" s="43" t="e">
        <f>AR164+AM165*(AF166-AK165)</f>
        <v>#VALUE!</v>
      </c>
      <c r="BG165" s="43">
        <f>AR164+AM165*(AG166-AK165)</f>
        <v>84216.562000000005</v>
      </c>
      <c r="BH165" s="43">
        <f>AR164+AM165*(AH166-AK165)</f>
        <v>-12771.108</v>
      </c>
      <c r="BI165" s="43">
        <f>AR164+AM165*(AI166-AK165)</f>
        <v>4548.8919999999998</v>
      </c>
      <c r="BJ165" s="115">
        <f>S160*AO165</f>
        <v>0</v>
      </c>
      <c r="BK165" s="147">
        <f>T160*AO165</f>
        <v>0</v>
      </c>
      <c r="BL165" s="115">
        <f>U160*AO165</f>
        <v>0</v>
      </c>
      <c r="BM165" s="115">
        <f>V160*AO165</f>
        <v>0</v>
      </c>
      <c r="BN165" s="115">
        <f>W160*AO165</f>
        <v>0</v>
      </c>
      <c r="BO165" s="115">
        <f>X160*AO165</f>
        <v>0</v>
      </c>
      <c r="BP165" s="43">
        <f>Y160*AO165</f>
        <v>0</v>
      </c>
      <c r="BQ165" s="43">
        <f>Z160*AO165</f>
        <v>34530</v>
      </c>
      <c r="BR165" s="43">
        <f>AA160*AO165</f>
        <v>0</v>
      </c>
      <c r="BS165" s="43">
        <f>AB160*AO165</f>
        <v>34530</v>
      </c>
      <c r="BT165" s="43">
        <f>AC160*AO165</f>
        <v>0</v>
      </c>
      <c r="BU165" s="43">
        <f>AD160*AO165</f>
        <v>34530</v>
      </c>
      <c r="BV165" s="43">
        <f>AE160*AO165</f>
        <v>0</v>
      </c>
      <c r="BW165" s="43">
        <f>AF160*AO165</f>
        <v>0</v>
      </c>
      <c r="BX165" s="43">
        <f>AG160*AO165</f>
        <v>118783.2</v>
      </c>
      <c r="BY165" s="43" t="e">
        <f>AH160*AO165</f>
        <v>#REF!</v>
      </c>
      <c r="BZ165" s="43" t="e">
        <f>AI160*AO165</f>
        <v>#REF!</v>
      </c>
      <c r="CA165" s="44">
        <f>AN165*S162</f>
        <v>0</v>
      </c>
      <c r="CB165" s="44">
        <f>AN165*T162</f>
        <v>0</v>
      </c>
      <c r="CC165" s="44">
        <f>AN165*U162</f>
        <v>2182.8760799999995</v>
      </c>
      <c r="CD165" s="44">
        <f>AN165*V162</f>
        <v>0</v>
      </c>
      <c r="CE165" s="44">
        <f>AN165*W162</f>
        <v>1091.4380399999998</v>
      </c>
      <c r="CF165" s="44">
        <f>AN165*X162</f>
        <v>1091.4380399999998</v>
      </c>
      <c r="CG165" s="44">
        <f>AN165*Y162</f>
        <v>2182.8760799999995</v>
      </c>
      <c r="CH165" s="44">
        <f>AN165*Z162</f>
        <v>0</v>
      </c>
      <c r="CI165" s="44">
        <f>AN165*AA162</f>
        <v>3149.9453911083524</v>
      </c>
      <c r="CJ165" s="44">
        <f>AN165*AB162</f>
        <v>0</v>
      </c>
      <c r="CK165" s="44">
        <f>AN165*AC162</f>
        <v>0</v>
      </c>
      <c r="CL165" s="44">
        <f>AN165*AD162</f>
        <v>913.592200514247</v>
      </c>
      <c r="CM165" s="44">
        <f>AN165*AE162</f>
        <v>0</v>
      </c>
      <c r="CN165" s="44">
        <f>AN165*AF162</f>
        <v>0</v>
      </c>
      <c r="CO165" s="44">
        <f>AN165*AG162</f>
        <v>0</v>
      </c>
      <c r="CP165" s="44">
        <f>AN165*AH162</f>
        <v>0</v>
      </c>
      <c r="CQ165" s="44">
        <f>AN165*AI162</f>
        <v>1.3594760121080142E-2</v>
      </c>
    </row>
    <row r="166" spans="17:116" ht="15.75" hidden="1" x14ac:dyDescent="0.25">
      <c r="Q166" s="2"/>
      <c r="R166" s="14" t="s">
        <v>43</v>
      </c>
      <c r="S166" s="130">
        <f t="shared" ref="S166:Z166" si="277">S157-S158+S165</f>
        <v>49200</v>
      </c>
      <c r="T166" s="130">
        <f t="shared" si="277"/>
        <v>223990</v>
      </c>
      <c r="U166" s="130">
        <f t="shared" si="277"/>
        <v>45085.760000000002</v>
      </c>
      <c r="V166" s="130">
        <f t="shared" si="277"/>
        <v>232232.24</v>
      </c>
      <c r="W166" s="130">
        <f t="shared" si="277"/>
        <v>51264</v>
      </c>
      <c r="X166" s="130">
        <f t="shared" si="277"/>
        <v>226054</v>
      </c>
      <c r="Y166" s="130">
        <f t="shared" si="277"/>
        <v>228118</v>
      </c>
      <c r="Z166" s="130">
        <f t="shared" si="277"/>
        <v>0</v>
      </c>
      <c r="AA166" s="130">
        <f t="shared" ref="AA166:AH166" si="278">AA157-AA158+AA165</f>
        <v>40252.306512125833</v>
      </c>
      <c r="AB166" s="130">
        <f t="shared" si="278"/>
        <v>0</v>
      </c>
      <c r="AC166" s="130">
        <f t="shared" si="278"/>
        <v>40000</v>
      </c>
      <c r="AD166" s="130">
        <f t="shared" si="278"/>
        <v>1432.5336250512971</v>
      </c>
      <c r="AE166" s="130">
        <f t="shared" si="278"/>
        <v>40000</v>
      </c>
      <c r="AF166" s="130" t="e">
        <f t="shared" si="278"/>
        <v>#VALUE!</v>
      </c>
      <c r="AG166" s="130">
        <f t="shared" si="278"/>
        <v>223990</v>
      </c>
      <c r="AH166" s="130">
        <f t="shared" si="278"/>
        <v>0</v>
      </c>
      <c r="AI166" s="130">
        <f t="shared" ref="AI166" si="279">AI157-AI158+AI165</f>
        <v>40000</v>
      </c>
      <c r="AJ166">
        <f>IF(S166&lt;AL160,AM160,IF(S166&lt;AL161,AM161,IF(S166&lt;AL162,AM162,IF(S166&lt;AL163,AM163,IF(S166&lt;AL164,AM164,IF(S166&lt;AL165,AM165,IF(S166&lt;AL166,AM166,IF(S166&lt;AL167,AM167,AM168))))))))</f>
        <v>0.35</v>
      </c>
      <c r="AK166" s="67">
        <f t="shared" si="268"/>
        <v>144490</v>
      </c>
      <c r="AL166" s="123">
        <v>184590</v>
      </c>
      <c r="AM166" s="111">
        <v>0.46300000000000002</v>
      </c>
      <c r="AN166" s="113">
        <v>0.35709999999999997</v>
      </c>
      <c r="AO166" s="113">
        <v>0.38009999999999999</v>
      </c>
      <c r="AP166" s="13">
        <f t="shared" si="260"/>
        <v>40100</v>
      </c>
      <c r="AQ166" s="13">
        <f t="shared" si="261"/>
        <v>18566.3</v>
      </c>
      <c r="AR166" s="97">
        <f t="shared" si="269"/>
        <v>68358.929000000004</v>
      </c>
      <c r="AS166" s="114">
        <f>AR165+AM166*(S166-AK166)</f>
        <v>5673.3589999999967</v>
      </c>
      <c r="AT166" s="114">
        <f>AR165+AM166*(T166-AK166)</f>
        <v>86601.129000000001</v>
      </c>
      <c r="AU166" s="115">
        <f>AR165+AM166*(U166-AK166)</f>
        <v>3768.4658800000034</v>
      </c>
      <c r="AV166" s="115">
        <f>AR165+AM166*(V166-AK166)</f>
        <v>90417.286120000004</v>
      </c>
      <c r="AW166" s="115">
        <f>AR165+AM166*(W166-AK166)</f>
        <v>6628.9910000000018</v>
      </c>
      <c r="AX166" s="43">
        <f>AR165+AM166*(X166-AK166)</f>
        <v>87556.760999999999</v>
      </c>
      <c r="AY166" s="115">
        <f>AR165+AM166*(Y166-AK166)</f>
        <v>88512.393000000011</v>
      </c>
      <c r="AZ166" s="115">
        <f>AR165+AM166*(Z166-AK166)</f>
        <v>-17106.241000000009</v>
      </c>
      <c r="BA166" s="115">
        <f>AR165+AM166*(AA166-AK166)</f>
        <v>1530.5769151142595</v>
      </c>
      <c r="BB166" s="43">
        <f>AR165+AM166*(AB166-AK166)</f>
        <v>-17106.241000000009</v>
      </c>
      <c r="BC166" s="43">
        <f>AR165+AM166*(AC166-AK166)</f>
        <v>1413.7589999999982</v>
      </c>
      <c r="BD166" s="43">
        <f>AR165+AM166*(AD166-AK166)</f>
        <v>-16442.977931601257</v>
      </c>
      <c r="BE166" s="43">
        <f>AR165+AM166*(AE166-AK166)</f>
        <v>1413.7589999999982</v>
      </c>
      <c r="BF166" s="43" t="e">
        <f>AR165+AM166*(AF166-AK166)</f>
        <v>#VALUE!</v>
      </c>
      <c r="BG166" s="43">
        <f>AR165+AM166*(AG166-AK166)</f>
        <v>86601.129000000001</v>
      </c>
      <c r="BH166" s="43">
        <f>AR165+AM166*(AH166-AK166)</f>
        <v>-17106.241000000009</v>
      </c>
      <c r="BI166" s="43">
        <f>AR165+AM166*(AI166-AK166)</f>
        <v>1413.7589999999982</v>
      </c>
      <c r="BJ166" s="115">
        <f>S160*AO166</f>
        <v>0</v>
      </c>
      <c r="BK166" s="147">
        <f>T160*AO166</f>
        <v>0</v>
      </c>
      <c r="BL166" s="115">
        <f>U160*AO166</f>
        <v>0</v>
      </c>
      <c r="BM166" s="115">
        <f>V160*AO166</f>
        <v>0</v>
      </c>
      <c r="BN166" s="115">
        <f>W160*AO166</f>
        <v>0</v>
      </c>
      <c r="BO166" s="115">
        <f>X160*AO166</f>
        <v>0</v>
      </c>
      <c r="BP166" s="43">
        <f>Y160*AO166</f>
        <v>0</v>
      </c>
      <c r="BQ166" s="43">
        <f>Z160*AO166</f>
        <v>38010</v>
      </c>
      <c r="BR166" s="43">
        <f>AA160*AO166</f>
        <v>0</v>
      </c>
      <c r="BS166" s="43">
        <f>AB160*AO166</f>
        <v>38010</v>
      </c>
      <c r="BT166" s="43">
        <f>AC160*AO166</f>
        <v>0</v>
      </c>
      <c r="BU166" s="43">
        <f>AD160*AO166</f>
        <v>38010</v>
      </c>
      <c r="BV166" s="43">
        <f>AE160*AO166</f>
        <v>0</v>
      </c>
      <c r="BW166" s="43">
        <f>AF160*AO166</f>
        <v>0</v>
      </c>
      <c r="BX166" s="43">
        <f>AG160*AO166</f>
        <v>130754.4</v>
      </c>
      <c r="BY166" s="43" t="e">
        <f>AH160*AO166</f>
        <v>#REF!</v>
      </c>
      <c r="BZ166" s="43" t="e">
        <f>AI160*AO166</f>
        <v>#REF!</v>
      </c>
      <c r="CA166" s="44">
        <f>AN166*S162</f>
        <v>0</v>
      </c>
      <c r="CB166" s="44">
        <f>AN166*T162</f>
        <v>0</v>
      </c>
      <c r="CC166" s="44">
        <f>AN166*U162</f>
        <v>2469.1322399999999</v>
      </c>
      <c r="CD166" s="44">
        <f>AN166*V162</f>
        <v>0</v>
      </c>
      <c r="CE166" s="44">
        <f>AN166*W162</f>
        <v>1234.56612</v>
      </c>
      <c r="CF166" s="44">
        <f>AN166*X162</f>
        <v>1234.56612</v>
      </c>
      <c r="CG166" s="44">
        <f>AN166*Y162</f>
        <v>2469.1322399999999</v>
      </c>
      <c r="CH166" s="44">
        <f>AN166*Z162</f>
        <v>0</v>
      </c>
      <c r="CI166" s="44">
        <f>AN166*AA162</f>
        <v>3563.0202697649434</v>
      </c>
      <c r="CJ166" s="44">
        <f>AN166*AB162</f>
        <v>0</v>
      </c>
      <c r="CK166" s="44">
        <f>AN166*AC162</f>
        <v>0</v>
      </c>
      <c r="CL166" s="44">
        <f>AN166*AD162</f>
        <v>1033.3980830017028</v>
      </c>
      <c r="CM166" s="44">
        <f>AN166*AE162</f>
        <v>0</v>
      </c>
      <c r="CN166" s="44">
        <f>AN166*AF162</f>
        <v>0</v>
      </c>
      <c r="CO166" s="44">
        <f>AN166*AG162</f>
        <v>0</v>
      </c>
      <c r="CP166" s="44">
        <f>AN166*AH162</f>
        <v>0</v>
      </c>
      <c r="CQ166" s="44">
        <f>AN166*AI162</f>
        <v>1.5377538293435916E-2</v>
      </c>
    </row>
    <row r="167" spans="17:116" ht="15.75" hidden="1" x14ac:dyDescent="0.25">
      <c r="Q167" s="2"/>
      <c r="R167" s="3" t="s">
        <v>45</v>
      </c>
      <c r="S167" s="97">
        <f t="shared" ref="S167:Z167" si="280">(S157-S158)+S161+S163+S165</f>
        <v>49200</v>
      </c>
      <c r="T167" s="135">
        <f t="shared" si="280"/>
        <v>223990</v>
      </c>
      <c r="U167" s="97">
        <f t="shared" si="280"/>
        <v>54627.631999999998</v>
      </c>
      <c r="V167" s="135">
        <f t="shared" si="280"/>
        <v>232232.24</v>
      </c>
      <c r="W167" s="97">
        <f t="shared" si="280"/>
        <v>56034.936000000002</v>
      </c>
      <c r="X167" s="135">
        <f t="shared" si="280"/>
        <v>230824.93599999999</v>
      </c>
      <c r="Y167" s="135">
        <f t="shared" si="280"/>
        <v>237659.872</v>
      </c>
      <c r="Z167" s="135">
        <f t="shared" si="280"/>
        <v>115999.99999999999</v>
      </c>
      <c r="AA167" s="135">
        <f t="shared" ref="AA167:AH167" si="281">(AA157-AA158)+AA161+AA163+AA165</f>
        <v>54021.469134012201</v>
      </c>
      <c r="AB167" s="135">
        <f t="shared" si="281"/>
        <v>115999.99999999999</v>
      </c>
      <c r="AC167" s="135">
        <f t="shared" si="281"/>
        <v>40000</v>
      </c>
      <c r="AD167" s="135">
        <f t="shared" si="281"/>
        <v>121426.06304129981</v>
      </c>
      <c r="AE167" s="135">
        <f t="shared" si="281"/>
        <v>40000</v>
      </c>
      <c r="AF167" s="135" t="e">
        <f t="shared" si="281"/>
        <v>#VALUE!</v>
      </c>
      <c r="AG167" s="135">
        <f t="shared" si="281"/>
        <v>623030</v>
      </c>
      <c r="AH167" s="135" t="e">
        <f t="shared" si="281"/>
        <v>#REF!</v>
      </c>
      <c r="AI167" s="135" t="e">
        <f t="shared" ref="AI167" si="282">(AI157-AI158)+AI161+AI163+AI165</f>
        <v>#REF!</v>
      </c>
      <c r="AJ167">
        <f>AJ166*0.5</f>
        <v>0.17499999999999999</v>
      </c>
      <c r="AK167" s="132">
        <f t="shared" si="268"/>
        <v>184591</v>
      </c>
      <c r="AL167" s="133">
        <v>205842</v>
      </c>
      <c r="AM167" s="134">
        <v>0.47299999999999998</v>
      </c>
      <c r="AN167" s="122">
        <v>0.37090000000000001</v>
      </c>
      <c r="AO167" s="122">
        <v>0.39169999999999999</v>
      </c>
      <c r="AP167" s="13">
        <f t="shared" si="260"/>
        <v>21251</v>
      </c>
      <c r="AQ167" s="13">
        <f t="shared" si="261"/>
        <v>10051.723</v>
      </c>
      <c r="AR167" s="97">
        <f t="shared" si="269"/>
        <v>78410.652000000002</v>
      </c>
      <c r="AS167" s="114">
        <f>AR166+AM167*(S166-AK167)</f>
        <v>4318.9860000000044</v>
      </c>
      <c r="AT167" s="114">
        <f>AR166+AM167*(T166-AK167)</f>
        <v>86994.656000000003</v>
      </c>
      <c r="AU167" s="115">
        <f>AR166+AM167*(U166-AK167)</f>
        <v>2372.9504800000141</v>
      </c>
      <c r="AV167" s="115">
        <f>AR166+AM167*(V166-AK167)</f>
        <v>90893.235520000002</v>
      </c>
      <c r="AW167" s="115">
        <f>AR166+AM167*(W166-AK167)</f>
        <v>5295.2580000000089</v>
      </c>
      <c r="AX167" s="43">
        <f>AR166+AM167*(X166-AK167)</f>
        <v>87970.928</v>
      </c>
      <c r="AY167" s="115">
        <f>AR166+AM167*(Y166-AK167)</f>
        <v>88947.200000000012</v>
      </c>
      <c r="AZ167" s="115">
        <f>AR166+AM167*(Z166-AK167)</f>
        <v>-18952.613999999987</v>
      </c>
      <c r="BA167" s="115">
        <f>AR166+AM167*(AA166-AK167)</f>
        <v>86.726980235529481</v>
      </c>
      <c r="BB167" s="43">
        <f>AR166+AM167*(AB166-AK167)</f>
        <v>-18952.613999999987</v>
      </c>
      <c r="BC167" s="43">
        <f>AR166+AM167*(AC166-AK167)</f>
        <v>-32.613999999986845</v>
      </c>
      <c r="BD167" s="43">
        <f>AR166+AM167*(AD166-AK167)</f>
        <v>-18275.025595350729</v>
      </c>
      <c r="BE167" s="43">
        <f>AR166+AM167*(AE166-AK167)</f>
        <v>-32.613999999986845</v>
      </c>
      <c r="BF167" s="43" t="e">
        <f>AR166+AM167*(AF166-AK167)</f>
        <v>#VALUE!</v>
      </c>
      <c r="BG167" s="43">
        <f>AR166+AM167*(AG166-AK167)</f>
        <v>86994.656000000003</v>
      </c>
      <c r="BH167" s="43">
        <f>AR166+AM167*(AH166-AK167)</f>
        <v>-18952.613999999987</v>
      </c>
      <c r="BI167" s="43">
        <f>AR166+AM167*(AI166-AK167)</f>
        <v>-32.613999999986845</v>
      </c>
      <c r="BJ167" s="115">
        <f>S160*AO167</f>
        <v>0</v>
      </c>
      <c r="BK167" s="115">
        <f>T160*AO167</f>
        <v>0</v>
      </c>
      <c r="BL167" s="115">
        <f>U160*AO167</f>
        <v>0</v>
      </c>
      <c r="BM167" s="115">
        <f>V160*AO167</f>
        <v>0</v>
      </c>
      <c r="BN167" s="115">
        <f>W160*AO167</f>
        <v>0</v>
      </c>
      <c r="BO167" s="115">
        <f>X160*AO167</f>
        <v>0</v>
      </c>
      <c r="BP167" s="43">
        <f>Y160*AO167</f>
        <v>0</v>
      </c>
      <c r="BQ167" s="43">
        <f>Z160*AO167</f>
        <v>39170</v>
      </c>
      <c r="BR167" s="43">
        <f>AA160*AO167</f>
        <v>0</v>
      </c>
      <c r="BS167" s="43">
        <f>AB160*AO167</f>
        <v>39170</v>
      </c>
      <c r="BT167" s="43">
        <f>AC160*AO167</f>
        <v>0</v>
      </c>
      <c r="BU167" s="43">
        <f>AD160*AO167</f>
        <v>39170</v>
      </c>
      <c r="BV167" s="43">
        <f>AE160*AO167</f>
        <v>0</v>
      </c>
      <c r="BW167" s="43">
        <f>AF160*AO167</f>
        <v>0</v>
      </c>
      <c r="BX167" s="43">
        <f>AG160*AO167</f>
        <v>134744.79999999999</v>
      </c>
      <c r="BY167" s="43" t="e">
        <f>AH160*AO167</f>
        <v>#REF!</v>
      </c>
      <c r="BZ167" s="43" t="e">
        <f>AI160*AO167</f>
        <v>#REF!</v>
      </c>
      <c r="CA167" s="44">
        <f>AN167*S162</f>
        <v>0</v>
      </c>
      <c r="CB167" s="44">
        <f>AN167*T162</f>
        <v>0</v>
      </c>
      <c r="CC167" s="44">
        <f>AN167*U162</f>
        <v>2564.55096</v>
      </c>
      <c r="CD167" s="44">
        <f>AN167*V162</f>
        <v>0</v>
      </c>
      <c r="CE167" s="44">
        <f>AN167*W162</f>
        <v>1282.27548</v>
      </c>
      <c r="CF167" s="44">
        <f>AN167*X162</f>
        <v>1282.27548</v>
      </c>
      <c r="CG167" s="44">
        <f>AN167*Y162</f>
        <v>2564.55096</v>
      </c>
      <c r="CH167" s="44">
        <f>AN167*Z162</f>
        <v>0</v>
      </c>
      <c r="CI167" s="44">
        <f>AN167*AA162</f>
        <v>3700.7118959838072</v>
      </c>
      <c r="CJ167" s="44">
        <f>AN167*AB162</f>
        <v>0</v>
      </c>
      <c r="CK167" s="44">
        <f>AN167*AC162</f>
        <v>0</v>
      </c>
      <c r="CL167" s="44">
        <f>AN167*AD162</f>
        <v>1073.3333771641883</v>
      </c>
      <c r="CM167" s="44">
        <f>AN167*AE162</f>
        <v>0</v>
      </c>
      <c r="CN167" s="44">
        <f>AN167*AF162</f>
        <v>0</v>
      </c>
      <c r="CO167" s="44">
        <f>AN167*AG162</f>
        <v>0</v>
      </c>
      <c r="CP167" s="44">
        <f>AN167*AH162</f>
        <v>0</v>
      </c>
      <c r="CQ167" s="44">
        <f>AN167*AI162</f>
        <v>1.5971797684221176E-2</v>
      </c>
    </row>
    <row r="168" spans="17:116" ht="15.75" hidden="1" x14ac:dyDescent="0.25">
      <c r="Q168" s="2"/>
      <c r="R168" s="3" t="s">
        <v>46</v>
      </c>
      <c r="S168" s="135">
        <f>IF(S167&lt;AL160,AS160,IF(S167&lt;AL161,AS161,IF(S167&lt;AL162,AS162,IF(S167&lt;AL163,AS163,IF(S167&lt;AL164,AS164,IF(S167&lt;AL165,AS165,IF(S167&lt;AL166,AS166,IF(S167&lt;AL167,AS167,AS168))))))))</f>
        <v>12514.371999999999</v>
      </c>
      <c r="T168" s="135">
        <f>IF(T167&lt;AL160,AT160,IF(T167&lt;AL161,AT161,IF(T167&lt;AL162,AT162,IF(T167&lt;AL163,AT163,IF(T167&lt;AL164,AT164,IF(T167&lt;AL165,AT165,IF(T167&lt;AL166,AT166,IF(T167&lt;AL167,AT167,AT168))))))))</f>
        <v>87720.062999999995</v>
      </c>
      <c r="U168" s="135">
        <f>IF(U167&lt;AL160,AU160,IF(U167&lt;AL161,AU161,IF(U167&lt;AL162,AU162,IF(U167&lt;AL163,AU163,IF(U167&lt;AL164,AU164,IF(U167&lt;AL165,AU165,IF(U167&lt;AL166,AU166,IF(U167&lt;AL167,AU167,AU168))))))))</f>
        <v>11074.388000000001</v>
      </c>
      <c r="V168" s="135">
        <f>IF(V167&lt;AL160,AV160,IF(V167&lt;AL161,AV161,IF(V167&lt;AL162,AV162,IF(V167&lt;AL163,AV163,IF(V167&lt;AL164,AV164,IF(V167&lt;AL165,AV165,IF(V167&lt;AL166,AV166,IF(V167&lt;AL167,AV167,AV168))))))))</f>
        <v>91948.332119999992</v>
      </c>
      <c r="W168" s="135">
        <f>IF(W167&lt;AL160,AW160,IF(W167&lt;AL161,AW161,IF(W167&lt;AL162,AW162,IF(W167&lt;AL163,AW163,IF(W167&lt;AL164,AW164,IF(W167&lt;AL165,AW165,IF(W167&lt;AL166,AW166,IF(W167&lt;AL167,AW167,AW168))))))))</f>
        <v>13236.771999999999</v>
      </c>
      <c r="X168" s="135">
        <f>IF(X167&lt;AL160,AX160,IF(X167&lt;AL161,AX161,IF(X167&lt;AL162,AX162,IF(X167&lt;AL163,AX163,IF(X167&lt;AL164,AX164,IF(X167&lt;AL165,AX165,IF(X167&lt;AL166,AX166,IF(X167&lt;AL167,AX167,AX168))))))))</f>
        <v>88778.895000000004</v>
      </c>
      <c r="Y168" s="135">
        <f>IF(Y167&lt;AL160,AY160,IF(Y167&lt;AL161,AY161,IF(Y167&lt;AL162,AY162,IF(Y167&lt;AL163,AY163,IF(Y167&lt;AL164,AY164,IF(Y167&lt;AL165,AY165,IF(Y167&lt;AL166,AY166,IF(Y167&lt;AL167,AY167,AY168))))))))</f>
        <v>89837.726999999999</v>
      </c>
      <c r="Z168" s="135">
        <f>IF(Z167&lt;AL160,AZ160,IF(Z167&lt;AL161,AZ161,IF(Z167&lt;AL162,AZ162,IF(Z167&lt;AL163,AZ163,IF(Z167&lt;AL164,AZ164,IF(Z167&lt;AL165,AZ165,IF(Z167&lt;AL166,AZ166,IF(Z167&lt;AL167,AZ167,AZ168))))))))</f>
        <v>-10792.925000000003</v>
      </c>
      <c r="AA168" s="135">
        <f>IF(AA167&lt;AL160,BA160,IF(AA167&lt;AL161,BA161,IF(AA167&lt;AL162,BA162,IF(AA167&lt;AL163,BA163,IF(AA167&lt;AL164,BA164,IF(AA167&lt;AL165,BA165,IF(AA167&lt;AL166,BA166,IF(AA167&lt;AL167,BA167,BA168))))))))</f>
        <v>9382.679279244041</v>
      </c>
      <c r="AB168" s="135">
        <f>IF(AB167&lt;AL160,BB160,IF(AB167&lt;AL161,BB161,IF(AB167&lt;AL162,BB162,IF(AB167&lt;AL163,BB163,IF(AB167&lt;AL164,BB164,IF(AB167&lt;AL165,BB165,IF(AB167&lt;AL166,BB166,IF(AB167&lt;AL167,BB167,BB168))))))))</f>
        <v>-10792.925000000003</v>
      </c>
      <c r="AC168" s="135">
        <f>IF(AC167&lt;AL160,BC160,IF(AC167&lt;AL161,BC161,IF(AC167&lt;AL162,BC162,IF(AC167&lt;AL163,BC163,IF(AC167&lt;AL164,BC164,IF(AC167&lt;AL165,BC165,IF(AC167&lt;AL166,BC166,IF(AC167&lt;AL167,BC167,BC168))))))))</f>
        <v>9657.9969999999994</v>
      </c>
      <c r="AD168" s="135">
        <f>IF(AD167&lt;AL160,BD160,IF(AD167&lt;AL161,BD161,IF(AD167&lt;AL162,BD162,IF(AD167&lt;AL163,BD163,IF(AD167&lt;AL164,BD164,IF(AD167&lt;AL165,BD165,IF(AD167&lt;AL166,BD166,IF(AD167&lt;AL167,BD167,BD168))))))))</f>
        <v>-10194.125944728563</v>
      </c>
      <c r="AE168" s="135">
        <f>IF(AE167&lt;AL160,BE160,IF(AE167&lt;AL161,BE161,IF(AE167&lt;AL162,BE162,IF(AE167&lt;AL163,BE163,IF(AE167&lt;AL164,BE164,IF(AE167&lt;AL165,BE165,IF(AE167&lt;AL166,BE166,IF(AE167&lt;AL167,BE167,BE168))))))))</f>
        <v>9657.9969999999994</v>
      </c>
      <c r="AF168" s="135" t="e">
        <f>IF(AF167&lt;AL160,BF160,IF(AF167&lt;AL161,BF161,IF(AF167&lt;AL162,BF162,IF(AF167&lt;AL163,BF163,IF(AF167&lt;AL164,BF164,IF(AF167&lt;AL165,BF165,IF(AF167&lt;AL166,BF166,IF(AF167&lt;AL167,BF167,BF168))))))))</f>
        <v>#VALUE!</v>
      </c>
      <c r="AG168" s="135">
        <f>IF(AG167&lt;AL160,BG160,IF(AG167&lt;AL161,BG161,IF(AG167&lt;AL162,BG162,IF(AG167&lt;AL163,BG163,IF(AG167&lt;AL164,BG164,IF(AG167&lt;AL165,BG165,IF(AG167&lt;AL166,BG166,IF(AG167&lt;AL167,BG167,BG168))))))))</f>
        <v>87720.062999999995</v>
      </c>
      <c r="AH168" s="135" t="e">
        <f>IF(AH167&lt;AL160,BH160,IF(AH167&lt;AL161,BH161,IF(AH167&lt;AL162,BH162,IF(AH167&lt;AL163,BH163,IF(AH167&lt;AL164,BH164,IF(AH167&lt;AL165,BH165,IF(AH167&lt;AL166,BH166,IF(AH167&lt;AL167,BH167,BH168))))))))</f>
        <v>#REF!</v>
      </c>
      <c r="AI168" s="135" t="e">
        <f>IF(AI167&lt;AL160,BI160,IF(AI167&lt;AL161,BI161,IF(AI167&lt;AL162,BI162,IF(AI167&lt;AL163,BI163,IF(AI167&lt;AL164,BI164,IF(AI167&lt;AL165,BI165,IF(AI167&lt;AL166,BI166,IF(AI167&lt;AL167,BI167,BI168))))))))</f>
        <v>#REF!</v>
      </c>
      <c r="AJ168" s="8">
        <f>IF(S167&lt;AL160,AN160,IF(S167&lt;AL161,AN161,IF(S167&lt;AL162,AN162,IF(S167&lt;AL163,AN163,IF(S167&lt;AL164,AN164,IF(S167&lt;AL165,AN165,IF(S167&lt;AL166,AN166,IF(S167&lt;AL167,AN167,AN168))))))))</f>
        <v>0.20119999999999999</v>
      </c>
      <c r="AK168" s="131">
        <f t="shared" si="268"/>
        <v>205843</v>
      </c>
      <c r="AL168" s="136">
        <v>205843</v>
      </c>
      <c r="AM168" s="137">
        <v>0.51300000000000001</v>
      </c>
      <c r="AN168" s="139">
        <v>0.42609999999999998</v>
      </c>
      <c r="AO168" s="139">
        <v>0.43809999999999999</v>
      </c>
      <c r="AP168" s="13"/>
      <c r="AQ168" s="13"/>
      <c r="AR168" s="97"/>
      <c r="AS168" s="114">
        <f>AR167+AM168*(S166-AK168)</f>
        <v>-1947.2069999999949</v>
      </c>
      <c r="AT168" s="114">
        <f>AR167+AM168*(T166-AK168)</f>
        <v>87720.062999999995</v>
      </c>
      <c r="AU168" s="115">
        <f>AR167+AM168*(U166-AK168)</f>
        <v>-4057.8121200000023</v>
      </c>
      <c r="AV168" s="115">
        <f>AR167+AM168*(V166-AK168)</f>
        <v>91948.332119999992</v>
      </c>
      <c r="AW168" s="115">
        <f>AR167+AM168*(W166-AK168)</f>
        <v>-888.375</v>
      </c>
      <c r="AX168" s="43">
        <f>AR167+AM168*(X166-AK168)</f>
        <v>88778.895000000004</v>
      </c>
      <c r="AY168" s="115">
        <f>AR167+AM168*(Y166-AK168)</f>
        <v>89837.726999999999</v>
      </c>
      <c r="AZ168" s="115">
        <f>AR167+AM168*(Z166-AK168)</f>
        <v>-27186.807000000001</v>
      </c>
      <c r="BA168" s="115">
        <f>AR167+AM168*(AA166-AK168)</f>
        <v>-6537.3737592794496</v>
      </c>
      <c r="BB168" s="43">
        <f>AR167+AM168*(AB166-AK168)</f>
        <v>-27186.807000000001</v>
      </c>
      <c r="BC168" s="43">
        <f>AR167+AM168*(AC166-AK168)</f>
        <v>-6666.8070000000007</v>
      </c>
      <c r="BD168" s="43">
        <f>AR167+AM168*(AD166-AK168)</f>
        <v>-26451.917250348692</v>
      </c>
      <c r="BE168" s="43">
        <f>AR167+AM168*(AE166-AK168)</f>
        <v>-6666.8070000000007</v>
      </c>
      <c r="BF168" s="43" t="e">
        <f>AR167+AM168*(AF166-AK168)</f>
        <v>#VALUE!</v>
      </c>
      <c r="BG168" s="43">
        <f>AR167+AM168*(AG166-AK168)</f>
        <v>87720.062999999995</v>
      </c>
      <c r="BH168" s="43">
        <f>AR167+AM168*(AH166-AK168)</f>
        <v>-27186.807000000001</v>
      </c>
      <c r="BI168" s="43">
        <f>AR167+AM168*(AI166-AK168)</f>
        <v>-6666.8070000000007</v>
      </c>
      <c r="BJ168" s="115">
        <f>S160*AO168</f>
        <v>0</v>
      </c>
      <c r="BK168" s="115">
        <f>T160*AO168</f>
        <v>0</v>
      </c>
      <c r="BL168" s="115">
        <f>U160*AO168</f>
        <v>0</v>
      </c>
      <c r="BM168" s="115">
        <f>V160*AO168</f>
        <v>0</v>
      </c>
      <c r="BN168" s="115">
        <f>W160*AO168</f>
        <v>0</v>
      </c>
      <c r="BO168" s="115">
        <f>X160*AO168</f>
        <v>0</v>
      </c>
      <c r="BP168" s="43">
        <f>Y160*AO168</f>
        <v>0</v>
      </c>
      <c r="BQ168" s="43">
        <f>Z160*AO168</f>
        <v>43810</v>
      </c>
      <c r="BR168" s="43">
        <f>AA160*AO168</f>
        <v>0</v>
      </c>
      <c r="BS168" s="43">
        <f>AB160*AO168</f>
        <v>43810</v>
      </c>
      <c r="BT168" s="43">
        <f>AC160*AO168</f>
        <v>0</v>
      </c>
      <c r="BU168" s="43">
        <f>AD160*AO168</f>
        <v>43810</v>
      </c>
      <c r="BV168" s="43">
        <f>AE160*AO168</f>
        <v>0</v>
      </c>
      <c r="BW168" s="43">
        <f>AF160*AO168</f>
        <v>0</v>
      </c>
      <c r="BX168" s="43">
        <f>AG160*AO168</f>
        <v>150706.4</v>
      </c>
      <c r="BY168" s="43" t="e">
        <f>AH160*AO168</f>
        <v>#REF!</v>
      </c>
      <c r="BZ168" s="43" t="e">
        <f>AI160*AO168</f>
        <v>#REF!</v>
      </c>
      <c r="CA168" s="44">
        <f>AN168*S162</f>
        <v>0</v>
      </c>
      <c r="CB168" s="44">
        <f>AN168*T162</f>
        <v>0</v>
      </c>
      <c r="CC168" s="44">
        <f>AN168*U162</f>
        <v>2946.2258399999996</v>
      </c>
      <c r="CD168" s="44">
        <f>AN168*V162</f>
        <v>0</v>
      </c>
      <c r="CE168" s="44">
        <f>AN168*W162</f>
        <v>1473.1129199999998</v>
      </c>
      <c r="CF168" s="44">
        <f>AN168*X162</f>
        <v>1473.1129199999998</v>
      </c>
      <c r="CG168" s="44">
        <f>AN168*Y162</f>
        <v>2946.2258399999996</v>
      </c>
      <c r="CH168" s="44">
        <f>AN168*Z162</f>
        <v>0</v>
      </c>
      <c r="CI168" s="44">
        <f>AN168*AA162</f>
        <v>4251.4784008592615</v>
      </c>
      <c r="CJ168" s="44">
        <f>AN168*AB162</f>
        <v>0</v>
      </c>
      <c r="CK168" s="44">
        <f>AN168*AC162</f>
        <v>0</v>
      </c>
      <c r="CL168" s="44">
        <f>AN168*AD162</f>
        <v>1233.0745538141293</v>
      </c>
      <c r="CM168" s="44">
        <f>AN168*AE162</f>
        <v>0</v>
      </c>
      <c r="CN168" s="44">
        <f>AN168*AF162</f>
        <v>0</v>
      </c>
      <c r="CO168" s="44">
        <f>AN168*AG162</f>
        <v>0</v>
      </c>
      <c r="CP168" s="44">
        <f>AN168*AH162</f>
        <v>0</v>
      </c>
      <c r="CQ168" s="44">
        <f>AN168*AI162</f>
        <v>1.8348835247362204E-2</v>
      </c>
    </row>
    <row r="169" spans="17:116" ht="15.75" hidden="1" x14ac:dyDescent="0.25">
      <c r="Q169" s="2"/>
      <c r="R169" s="3" t="s">
        <v>70</v>
      </c>
      <c r="S169" s="8">
        <f>IF(S167&lt;AL160,BJ160,IF(S167&lt;AL161,BJ161,IF(S167&lt;AL162,BJ162,IF(S167&lt;AL163,BJ163,IF(S167&lt;AL164,BJ164,IF(S167&lt;AL165,BJ165,IF(S167&lt;AL166,BJ166,IF(S167&lt;AL167,BJ167,BJ168))))))))</f>
        <v>0</v>
      </c>
      <c r="T169" s="8">
        <f>IF(T167&lt;AL160,BK160,IF(T167&lt;AL161,BK161,IF(T167&lt;AL162,BK162,IF(T167&lt;AL163,BK163,IF(T167&lt;AL164,BK164,IF(T167&lt;AL165,BK165,IF(T167&lt;AL166,BK166,IF(T167&lt;AL167,BK167,BK168))))))))</f>
        <v>0</v>
      </c>
      <c r="U169" s="8">
        <f>IF(U167&lt;AL160,BL160,IF(U167&lt;AL161,BL161,IF(U167&lt;AL162,BL162,IF(U167&lt;AL163,BL163,IF(U167&lt;AL164,BL164,IF(U167&lt;AL165,BL165,IF(U167&lt;AL166,BL166,IF(U167&lt;AL167,BL167,BL168))))))))</f>
        <v>0</v>
      </c>
      <c r="V169" s="8">
        <f>IF(V167&lt;AL160,BM160,IF(V167&lt;AL161,BM161,IF(V167&lt;AL162,BM162,IF(V167&lt;AL163,BM163,IF(V167&lt;AL164,BM164,IF(V167&lt;AL165,BM165,IF(V167&lt;AL166,BM166,IF(V167&lt;AL167,BM167,BM168))))))))</f>
        <v>0</v>
      </c>
      <c r="W169" s="2">
        <f>IF(W167&lt;AL160,BN160,IF(W167&lt;AL161,BN161,IF(W167&lt;AL162,BN162,IF(W167&lt;AL163,BN163,IF(W167&lt;AL164,BN164,IF(W167&lt;AL165,BN165,IF(W167&lt;AL166,BN166,IF(W167&lt;AL167,BN167,BN168))))))))</f>
        <v>0</v>
      </c>
      <c r="X169" s="2">
        <f>IF(X167&lt;AL160,BO160,IF(X167&lt;AL161,BO161,IF(X167&lt;AL162,BO162,IF(X167&lt;AL163,BO163,IF(X167&lt;AL164,BO164,IF(X167&lt;AL165,BO165,IF(X167&lt;AL166,BO166,IF(X167&lt;AL167,BO167,BO168))))))))</f>
        <v>0</v>
      </c>
      <c r="Y169" s="2">
        <f>IF(Y167&lt;AL160,BP160,IF(Y167&lt;AL161,BP161,IF(Y167&lt;AL162,BP162,IF(Y167&lt;AL163,BP163,IF(Y167&lt;AL164,BP164,IF(Y167&lt;AL165,BP165,IF(Y167&lt;AL166,BP166,IF(Y167&lt;AL167,BP167,BP168))))))))</f>
        <v>0</v>
      </c>
      <c r="Z169" s="2">
        <f>IF(Z167&lt;AL160,BQ160,IF(Z167&lt;AL161,BQ161,IF(Z167&lt;AL162,BQ162,IF(Z167&lt;AL163,BQ163,IF(Z167&lt;AL164,BQ164,IF(Z167&lt;AL165,BQ165,IF(Z167&lt;AL166,BQ166,IF(Z167&lt;AL167,BQ167,BQ168))))))))</f>
        <v>32790</v>
      </c>
      <c r="AA169" s="2">
        <f>IF(AA167&lt;AL160,BR160,IF(AA167&lt;AL161,BR161,IF(AA167&lt;AL162,BR162,IF(AA167&lt;AL163,BR163,IF(AA167&lt;AL164,BR164,IF(AA167&lt;AL165,BR165,IF(AA167&lt;AL166,BR166,IF(AA167&lt;AL167,BR167,BR168))))))))</f>
        <v>0</v>
      </c>
      <c r="AB169" s="2">
        <f>IF(AB167&lt;AL160,BS160,IF(AB167&lt;AL161,BS161,IF(AB167&lt;AL162,BS162,IF(AB167&lt;AL163,BS163,IF(AB167&lt;AL164,BS164,IF(AB167&lt;AL165,BS165,IF(AB167&lt;AL166,BS166,IF(AB167&lt;AL167,BS167,BS168))))))))</f>
        <v>32790</v>
      </c>
      <c r="AC169" s="2">
        <f>IF(AC167&lt;AL160,BT160,IF(AC167&lt;AL161,BT161,IF(AC167&lt;AL162,BT162,IF(AC167&lt;AL163,BT163,IF(AC167&lt;AL164,BT164,IF(AC167&lt;AL165,BT165,IF(AC167&lt;AL166,BT166,IF(AC167&lt;AL167,BT167,BT168))))))))</f>
        <v>0</v>
      </c>
      <c r="AD169" s="2">
        <f>IF(AD167&lt;AL160,BU160,IF(AD167&lt;AL161,BU161,IF(AD167&lt;AL162,BU162,IF(AD167&lt;AL163,BU163,IF(AD167&lt;AL164,BU164,IF(AD167&lt;AL165,BU165,IF(AD167&lt;AL166,BU166,IF(AD167&lt;AL167,BU167,BU168))))))))</f>
        <v>32790</v>
      </c>
      <c r="AE169" s="2">
        <f>IF(AE167&lt;AL160,BV160,IF(AE167&lt;AL161,BV161,IF(AE167&lt;AL162,BV162,IF(AE167&lt;AL163,BV163,IF(AE167&lt;AL164,BV164,IF(AE167&lt;AL165,BV165,IF(AE167&lt;AL166,BV166,IF(AE167&lt;AL167,BV167,BV168))))))))</f>
        <v>0</v>
      </c>
      <c r="AF169" s="2" t="e">
        <f>IF(AF167&lt;AL160,BW160,IF(AF167&lt;AL161,BW161,IF(AF167&lt;AL162,BW162,IF(AF167&lt;AL163,BW163,IF(AF167&lt;AL164,BW164,IF(AF167&lt;AL165,BW165,IF(AF167&lt;AL166,BW166,IF(AF167&lt;AL167,BW167,BW168))))))))</f>
        <v>#VALUE!</v>
      </c>
      <c r="AG169" s="2">
        <f>IF(AG167&lt;AL160,BX160,IF(AG167&lt;AL161,BX161,IF(AG167&lt;AL162,BX162,IF(AG167&lt;AL163,BX163,IF(AG167&lt;AL164,BX164,IF(AG167&lt;AL165,BX165,IF(AG167&lt;AL166,BX166,IF(AG167&lt;AL167,BX167,BX168))))))))</f>
        <v>150706.4</v>
      </c>
      <c r="AH169" s="2" t="e">
        <f>IF(AH167&lt;AL160,BY160,IF(AH167&lt;AL161,BY161,IF(AH167&lt;AL162,BY162,IF(AH167&lt;AL163,BY163,IF(AH167&lt;AL164,BY164,IF(AH167&lt;AL165,BY165,IF(AH167&lt;AL166,BY166,IF(AH167&lt;AL167,BY167,BY168))))))))</f>
        <v>#REF!</v>
      </c>
      <c r="AI169" s="2" t="e">
        <f>IF(AI167&lt;AL160,BZ160,IF(AI167&lt;AL161,BZ161,IF(AI167&lt;AL162,BZ162,IF(AI167&lt;AL163,BZ163,IF(AI167&lt;AL164,BZ164,IF(AI167&lt;AL165,BZ165,IF(AI167&lt;AL166,BZ166,IF(AI167&lt;AL167,BZ167,BZ168))))))))</f>
        <v>#REF!</v>
      </c>
      <c r="AK169" s="141"/>
      <c r="AL169" s="136">
        <v>205843</v>
      </c>
      <c r="AM169" s="137">
        <v>0.51300000000000001</v>
      </c>
      <c r="AN169" s="139">
        <v>0.42609999999999998</v>
      </c>
      <c r="AO169" s="139">
        <v>0.43809999999999999</v>
      </c>
      <c r="AP169" s="13"/>
      <c r="AQ169" s="13"/>
      <c r="AR169" s="97"/>
      <c r="AS169" s="114"/>
      <c r="AT169" s="114"/>
      <c r="AU169" s="115">
        <f>AR168+AM169*(U166-AK169)</f>
        <v>23128.994880000002</v>
      </c>
      <c r="AV169" s="115">
        <f>AR168+AM169*(V166-AK169)</f>
        <v>119135.13911999999</v>
      </c>
      <c r="AW169" s="115">
        <f>AR168+AM169*(W166-AK169)</f>
        <v>26298.432000000001</v>
      </c>
      <c r="AX169" s="43">
        <f>AR168+AM169*(X166-AK169)</f>
        <v>115965.702</v>
      </c>
      <c r="AY169" s="115">
        <f>AR168+AM169*(Y166-AK169)</f>
        <v>117024.534</v>
      </c>
      <c r="AZ169" s="115">
        <f>AR168+AM169*(Z166-AK169)</f>
        <v>0</v>
      </c>
      <c r="BA169" s="115">
        <f>AR168+AM169*(AA166-AK169)</f>
        <v>20649.433240720551</v>
      </c>
      <c r="BB169" s="43">
        <f>AR168+AM169*(AB166-AK169)</f>
        <v>0</v>
      </c>
      <c r="BC169" s="43">
        <f>AR168+AM169*(AC166-AK169)</f>
        <v>20520</v>
      </c>
      <c r="BD169" s="43">
        <f>AR168+AM169*(AD166-AK169)</f>
        <v>734.88974965131547</v>
      </c>
      <c r="BE169" s="43">
        <f>AR168+AM169*(AE166-AK169)</f>
        <v>20520</v>
      </c>
      <c r="BF169" s="43" t="e">
        <f>AR168+AM169*(AF166-AK169)</f>
        <v>#VALUE!</v>
      </c>
      <c r="BG169" s="43">
        <f>AR168+AM169*(AG166-AK169)</f>
        <v>114906.87</v>
      </c>
      <c r="BH169" s="43">
        <f>AR168+AM169*(AH166-AK169)</f>
        <v>0</v>
      </c>
      <c r="BI169" s="43">
        <f>AR168+AM169*(AI166-AK169)</f>
        <v>20520</v>
      </c>
      <c r="BJ169" s="115">
        <f>S160*AO169</f>
        <v>0</v>
      </c>
      <c r="BK169" s="115">
        <f>T160*AO169</f>
        <v>0</v>
      </c>
      <c r="BL169" s="115">
        <f>U160*AO169</f>
        <v>0</v>
      </c>
      <c r="BM169" s="115">
        <f>V160*AO169</f>
        <v>0</v>
      </c>
      <c r="BN169" s="115">
        <f>W160*AO169</f>
        <v>0</v>
      </c>
      <c r="BO169" s="115">
        <f>X160*AO169</f>
        <v>0</v>
      </c>
      <c r="BP169" s="43">
        <f>Y160*AO169</f>
        <v>0</v>
      </c>
      <c r="BQ169" s="43">
        <f>Z160*AO169</f>
        <v>43810</v>
      </c>
      <c r="BR169" s="43">
        <f>AA160*AO169</f>
        <v>0</v>
      </c>
      <c r="BS169" s="43">
        <f>AB160*AO169</f>
        <v>43810</v>
      </c>
      <c r="BT169" s="43">
        <f>AC160*AO169</f>
        <v>0</v>
      </c>
      <c r="BU169" s="43">
        <f>AD160*AO169</f>
        <v>43810</v>
      </c>
      <c r="BV169" s="43">
        <f>AE160*AO169</f>
        <v>0</v>
      </c>
      <c r="BW169" s="43">
        <f>AF160*AO169</f>
        <v>0</v>
      </c>
      <c r="BX169" s="43">
        <f>AG160*AO169</f>
        <v>150706.4</v>
      </c>
      <c r="BY169" s="43" t="e">
        <f>AH160*AO169</f>
        <v>#REF!</v>
      </c>
      <c r="BZ169" s="43" t="e">
        <f>AI160*AO169</f>
        <v>#REF!</v>
      </c>
      <c r="CA169" s="44">
        <f>AN169*S162</f>
        <v>0</v>
      </c>
      <c r="CB169" s="44">
        <f>AN169*T162</f>
        <v>0</v>
      </c>
      <c r="CC169" s="44">
        <f>AN169*U162</f>
        <v>2946.2258399999996</v>
      </c>
      <c r="CD169" s="44">
        <f>AN169*V162</f>
        <v>0</v>
      </c>
      <c r="CE169" s="44">
        <f>AN169*W162</f>
        <v>1473.1129199999998</v>
      </c>
      <c r="CF169" s="44">
        <f>AN169*X162</f>
        <v>1473.1129199999998</v>
      </c>
      <c r="CG169" s="44">
        <f>AN169*Y162</f>
        <v>2946.2258399999996</v>
      </c>
      <c r="CH169" s="44">
        <f>AN169*Z162</f>
        <v>0</v>
      </c>
      <c r="CI169" s="44">
        <f>AN169*AA162</f>
        <v>4251.4784008592615</v>
      </c>
      <c r="CJ169" s="44">
        <f>AN169*AB162</f>
        <v>0</v>
      </c>
      <c r="CK169" s="44">
        <f>AN169*AC162</f>
        <v>0</v>
      </c>
      <c r="CL169" s="44">
        <f>AN169*AD162</f>
        <v>1233.0745538141293</v>
      </c>
      <c r="CM169" s="44">
        <f>AN169*AE162</f>
        <v>0</v>
      </c>
      <c r="CN169" s="44">
        <f>AN169*AF162</f>
        <v>0</v>
      </c>
      <c r="CO169" s="44">
        <f>AN169*AG162</f>
        <v>0</v>
      </c>
      <c r="CP169" s="44">
        <f>AN169*AH162</f>
        <v>0</v>
      </c>
      <c r="CQ169" s="44">
        <f>AN169*AI162</f>
        <v>1.8348835247362204E-2</v>
      </c>
    </row>
    <row r="170" spans="17:116" ht="15.75" hidden="1" x14ac:dyDescent="0.25">
      <c r="Q170" s="2"/>
      <c r="R170" s="3" t="s">
        <v>49</v>
      </c>
      <c r="S170" s="66">
        <f t="shared" ref="S170:AI170" si="283">CA171</f>
        <v>0</v>
      </c>
      <c r="T170" s="66">
        <f t="shared" si="283"/>
        <v>0</v>
      </c>
      <c r="U170" s="66">
        <f t="shared" si="283"/>
        <v>1391.1772799999999</v>
      </c>
      <c r="V170" s="66">
        <f t="shared" si="283"/>
        <v>0</v>
      </c>
      <c r="W170" s="66">
        <f t="shared" si="283"/>
        <v>695.58863999999994</v>
      </c>
      <c r="X170" s="66">
        <f t="shared" si="283"/>
        <v>1473.1129199999998</v>
      </c>
      <c r="Y170" s="66">
        <f t="shared" si="283"/>
        <v>2946.2258399999996</v>
      </c>
      <c r="Z170" s="130">
        <f t="shared" si="283"/>
        <v>0</v>
      </c>
      <c r="AA170" s="130">
        <f t="shared" si="283"/>
        <v>2007.5039996547371</v>
      </c>
      <c r="AB170" s="130">
        <f t="shared" si="283"/>
        <v>0</v>
      </c>
      <c r="AC170" s="130">
        <f t="shared" si="283"/>
        <v>0</v>
      </c>
      <c r="AD170" s="130">
        <f t="shared" si="283"/>
        <v>853.68925927051907</v>
      </c>
      <c r="AE170" s="130">
        <f t="shared" si="283"/>
        <v>0</v>
      </c>
      <c r="AF170" s="130" t="e">
        <f t="shared" si="283"/>
        <v>#VALUE!</v>
      </c>
      <c r="AG170" s="130">
        <f t="shared" si="283"/>
        <v>0</v>
      </c>
      <c r="AH170" s="130" t="e">
        <f t="shared" si="283"/>
        <v>#REF!</v>
      </c>
      <c r="AI170" s="130" t="e">
        <f t="shared" si="283"/>
        <v>#REF!</v>
      </c>
      <c r="AJ170" t="e">
        <f>IF(#REF!&lt;AL160,AM160,IF(#REF!&lt;AL161,AM161,IF(#REF!&lt;AL162,AM162,IF(#REF!&lt;AL163,AM163,IF(#REF!&lt;AL164,AM164,IF(#REF!&lt;AL165,AM165,IF(#REF!&lt;AL166,AM166,IF(#REF!&lt;AL167,AM167,AM168))))))))</f>
        <v>#REF!</v>
      </c>
      <c r="AK170" s="141"/>
      <c r="AL170" s="136">
        <v>205843</v>
      </c>
      <c r="AM170" s="137">
        <v>0.51300000000000001</v>
      </c>
      <c r="AN170" s="139">
        <v>0.42609999999999998</v>
      </c>
      <c r="AO170" s="139">
        <v>0.43809999999999999</v>
      </c>
      <c r="AP170" s="13"/>
      <c r="AQ170" s="13"/>
      <c r="AR170" s="97"/>
      <c r="AS170" s="114"/>
      <c r="AT170" s="114"/>
      <c r="AU170" s="115">
        <f>AR169+AM170*(U166-AK170)</f>
        <v>23128.994880000002</v>
      </c>
      <c r="AV170" s="115">
        <f>AR169+AM170*(V166-AK170)</f>
        <v>119135.13911999999</v>
      </c>
      <c r="AW170" s="115">
        <f>AR169+AM170*(W166-AK170)</f>
        <v>26298.432000000001</v>
      </c>
      <c r="AX170" s="43">
        <f>AR169+AM170*(X166-AK170)</f>
        <v>115965.702</v>
      </c>
      <c r="AY170" s="115">
        <f>AR169+AM170*(Y166-AK170)</f>
        <v>117024.534</v>
      </c>
      <c r="AZ170" s="115">
        <f>AR169+AM170*(Z166-AK170)</f>
        <v>0</v>
      </c>
      <c r="BA170" s="115">
        <f>AR169+AM170*(AA166-AK170)</f>
        <v>20649.433240720551</v>
      </c>
      <c r="BB170" s="43">
        <f>AR169+AM170*(AB166-AK170)</f>
        <v>0</v>
      </c>
      <c r="BC170" s="43">
        <f>AR169+AM170*(AC166-AK170)</f>
        <v>20520</v>
      </c>
      <c r="BD170" s="43">
        <f>AR169+AM170*(AD166-AK170)</f>
        <v>734.88974965131547</v>
      </c>
      <c r="BE170" s="43">
        <f>AR169+AM170*(AE166-AK170)</f>
        <v>20520</v>
      </c>
      <c r="BF170" s="43" t="e">
        <f>AR169+AM170*(AF166-AK170)</f>
        <v>#VALUE!</v>
      </c>
      <c r="BG170" s="43">
        <f>AR169+AM170*(AG166-AK170)</f>
        <v>114906.87</v>
      </c>
      <c r="BH170" s="43">
        <f>AR169+AM170*(AH166-AK170)</f>
        <v>0</v>
      </c>
      <c r="BI170" s="43">
        <f>AR169+AM170*(AI166-AK170)</f>
        <v>20520</v>
      </c>
      <c r="BJ170" s="115">
        <f>S160*AO170</f>
        <v>0</v>
      </c>
      <c r="BK170" s="115">
        <f>T160*AO170</f>
        <v>0</v>
      </c>
      <c r="BL170" s="115">
        <f>U160*AO170</f>
        <v>0</v>
      </c>
      <c r="BM170" s="115">
        <f>V160*AO170</f>
        <v>0</v>
      </c>
      <c r="BN170" s="115">
        <f>W160*AO170</f>
        <v>0</v>
      </c>
      <c r="BO170" s="115">
        <f>X160*AO170</f>
        <v>0</v>
      </c>
      <c r="BP170" s="43">
        <f>Y160*AO170</f>
        <v>0</v>
      </c>
      <c r="BQ170" s="43">
        <f>Z160*AO170</f>
        <v>43810</v>
      </c>
      <c r="BR170" s="43">
        <f>AA160*AO170</f>
        <v>0</v>
      </c>
      <c r="BS170" s="43">
        <f>AB160*AO170</f>
        <v>43810</v>
      </c>
      <c r="BT170" s="43">
        <f>AC160*AO170</f>
        <v>0</v>
      </c>
      <c r="BU170" s="43">
        <f>AD160*AO170</f>
        <v>43810</v>
      </c>
      <c r="BV170" s="43">
        <f>AE160*AO170</f>
        <v>0</v>
      </c>
      <c r="BW170" s="43">
        <f>AF160*AO170</f>
        <v>0</v>
      </c>
      <c r="BX170" s="43">
        <f>AG160*AO170</f>
        <v>150706.4</v>
      </c>
      <c r="BY170" s="43" t="e">
        <f>AH160*AO170</f>
        <v>#REF!</v>
      </c>
      <c r="BZ170" s="43" t="e">
        <f>AI160*AO170</f>
        <v>#REF!</v>
      </c>
      <c r="CA170" s="44">
        <f>AN170*S162</f>
        <v>0</v>
      </c>
      <c r="CB170" s="44">
        <f>AN170*T162</f>
        <v>0</v>
      </c>
      <c r="CC170" s="44">
        <f>AN170*U162</f>
        <v>2946.2258399999996</v>
      </c>
      <c r="CD170" s="44">
        <f>AN170*V162</f>
        <v>0</v>
      </c>
      <c r="CE170" s="44">
        <f>AN170*W162</f>
        <v>1473.1129199999998</v>
      </c>
      <c r="CF170" s="44">
        <f>AN170*X162</f>
        <v>1473.1129199999998</v>
      </c>
      <c r="CG170" s="44">
        <f>AN170*Y162</f>
        <v>2946.2258399999996</v>
      </c>
      <c r="CH170" s="44">
        <f>AN170*Z162</f>
        <v>0</v>
      </c>
      <c r="CI170" s="44">
        <f>AN170*AA162</f>
        <v>4251.4784008592615</v>
      </c>
      <c r="CJ170" s="44">
        <f>AN170*AB162</f>
        <v>0</v>
      </c>
      <c r="CK170" s="44">
        <f>AN170*AC162</f>
        <v>0</v>
      </c>
      <c r="CL170" s="44">
        <f>AN170*AD162</f>
        <v>1233.0745538141293</v>
      </c>
      <c r="CM170" s="44">
        <f>AN170*AE162</f>
        <v>0</v>
      </c>
      <c r="CN170" s="44">
        <f>AN170*AF162</f>
        <v>0</v>
      </c>
      <c r="CO170" s="44">
        <f>AN170*AG162</f>
        <v>0</v>
      </c>
      <c r="CP170" s="44">
        <f>AN170*AH162</f>
        <v>0</v>
      </c>
      <c r="CQ170" s="44">
        <f>AN170*AI162</f>
        <v>1.8348835247362204E-2</v>
      </c>
    </row>
    <row r="171" spans="17:116" ht="15.75" hidden="1" x14ac:dyDescent="0.25">
      <c r="Q171" s="2"/>
      <c r="R171" s="3" t="s">
        <v>73</v>
      </c>
      <c r="S171" s="135"/>
      <c r="T171" s="97">
        <f>S172-T172</f>
        <v>-75205.690999999992</v>
      </c>
      <c r="U171" s="85">
        <f>U172-S172</f>
        <v>-48.806719999998677</v>
      </c>
      <c r="V171" s="85">
        <f>V172-T172</f>
        <v>4228.2691199999972</v>
      </c>
      <c r="W171" s="85">
        <f>W172-S172</f>
        <v>1417.9886399999996</v>
      </c>
      <c r="X171" s="85">
        <f>X172-T172</f>
        <v>2531.944920000009</v>
      </c>
      <c r="Y171" s="85">
        <f>Y172-T172</f>
        <v>5063.8898400000035</v>
      </c>
      <c r="Z171" s="142">
        <f t="shared" ref="Z171:AE171" si="284">Z172-W172</f>
        <v>8064.7143599999981</v>
      </c>
      <c r="AA171" s="142">
        <f t="shared" si="284"/>
        <v>-78861.824641101237</v>
      </c>
      <c r="AB171" s="142">
        <f t="shared" si="284"/>
        <v>-70786.877840000001</v>
      </c>
      <c r="AC171" s="142">
        <f t="shared" si="284"/>
        <v>-12339.077999999998</v>
      </c>
      <c r="AD171" s="142">
        <f t="shared" si="284"/>
        <v>12059.380035643178</v>
      </c>
      <c r="AE171" s="142">
        <f t="shared" si="284"/>
        <v>-12339.077999999998</v>
      </c>
      <c r="AF171" s="85" t="e">
        <f>AF172-S172</f>
        <v>#VALUE!</v>
      </c>
      <c r="AG171" s="85">
        <f>AG172-T172</f>
        <v>150706.39999999997</v>
      </c>
      <c r="AH171" s="85" t="e">
        <f>AH172-U172</f>
        <v>#REF!</v>
      </c>
      <c r="AI171" s="85" t="e">
        <f>AI172-V172</f>
        <v>#REF!</v>
      </c>
      <c r="AJ171" t="s">
        <v>51</v>
      </c>
      <c r="AL171" s="136">
        <v>205843</v>
      </c>
      <c r="AM171" s="137">
        <v>0.51300000000000001</v>
      </c>
      <c r="AN171" s="139">
        <v>0.42609999999999998</v>
      </c>
      <c r="AO171" s="139">
        <v>0.43809999999999999</v>
      </c>
      <c r="AP171" s="143"/>
      <c r="AQ171" s="143"/>
      <c r="AR171" s="143"/>
      <c r="AS171" s="143"/>
      <c r="AT171" s="144"/>
      <c r="AU171" s="144"/>
      <c r="AV171" s="144"/>
      <c r="AW171" s="144"/>
      <c r="AX171" s="144"/>
      <c r="AY171" s="144"/>
      <c r="AZ171" s="144"/>
      <c r="BA171" s="144"/>
      <c r="BB171" s="144"/>
      <c r="BC171" s="144"/>
      <c r="BD171" s="144"/>
      <c r="BE171" s="144"/>
      <c r="BF171" s="144"/>
      <c r="BG171" s="144"/>
      <c r="BH171" s="144"/>
      <c r="BI171" s="144"/>
      <c r="BJ171" s="144"/>
      <c r="BK171" s="144"/>
      <c r="BL171" s="144"/>
      <c r="BM171" s="144"/>
      <c r="BN171" s="144"/>
      <c r="BO171" s="144"/>
      <c r="BP171" s="144"/>
      <c r="BQ171" s="144"/>
      <c r="BR171" s="144"/>
      <c r="BS171" s="144"/>
      <c r="BT171" s="144"/>
      <c r="BU171" s="144"/>
      <c r="BV171" s="144"/>
      <c r="BW171" s="144"/>
      <c r="BX171" s="144"/>
      <c r="BY171" s="144"/>
      <c r="BZ171" s="144"/>
      <c r="CA171" s="44">
        <f>IF(S167&lt;AL160,CA160,IF(S167&lt;AL161,CA161,IF(S167&lt;AL162,CA162,IF(S167&lt;AL163,CA163,IF(S167&lt;AL164,CA164,IF(S167&lt;AL165,CA165,IF(S167&lt;AL166,CA166,IF(S167&lt;AL167,CA167,CA168))))))))</f>
        <v>0</v>
      </c>
      <c r="CB171" s="44">
        <f>IF(T167&lt;AL160,CB160,IF(T167&lt;AL161,CB161,IF(T167&lt;AL162,CB162,IF(T167&lt;AL163,CB163,IF(T167&lt;AL164,CB164,IF(T167&lt;AL165,CB165,IF(T167&lt;AL166,CB166,IF(T167&lt;AL167,CB167,CB168))))))))</f>
        <v>0</v>
      </c>
      <c r="CC171" s="44">
        <f>IF(U167&lt;AL160,CC160,IF(U167&lt;AL161,CC161,IF(U167&lt;AL162,CC162,IF(U167&lt;AL163,CC163,IF(U167&lt;AL164,CC164,IF(U167&lt;AL165,CC165,IF(U167&lt;AL166,CC166,IF(U167&lt;AL167,CC167,CC168))))))))</f>
        <v>1391.1772799999999</v>
      </c>
      <c r="CD171" s="44">
        <f>IF(V167&lt;AL160,CD160,IF(V167&lt;AL161,CD161,IF(V167&lt;AL162,CD162,IF(V167&lt;AL163,CD163,IF(V167&lt;AL164,CD164,IF(V167&lt;AL165,CD165,IF(V167&lt;AL166,CD166,IF(V167&lt;AL167,CD167,CD168))))))))</f>
        <v>0</v>
      </c>
      <c r="CE171" s="44">
        <f>IF(W167&lt;AL160,CE160,IF(W167&lt;AL161,CE161,IF(W167&lt;AL162,CE162,IF(W167&lt;AL163,CE163,IF(W167&lt;AL164,CE164,IF(W167&lt;AL165,CE165,IF(W167&lt;AL166,CE166,IF(W167&lt;AL167,CE167,CE168))))))))</f>
        <v>695.58863999999994</v>
      </c>
      <c r="CF171" s="44">
        <f>IF(X167&lt;AL160,CF160,IF(X167&lt;AL161,CF161,IF(X167&lt;AL162,CF162,IF(X167&lt;AL163,CF163,IF(X167&lt;AL164,CF164,IF(X167&lt;AL165,CF165,IF(X167&lt;AL166,CF166,IF(X167&lt;AL167,CF167,CF168))))))))</f>
        <v>1473.1129199999998</v>
      </c>
      <c r="CG171" s="44">
        <f>IF(Y167&lt;AL160,CG160,IF(Y167&lt;AL161,CG161,IF(Y167&lt;AL162,CG162,IF(Y167&lt;AL163,CG163,IF(Y167&lt;AL164,CG164,IF(Y167&lt;AL165,CG165,IF(Y167&lt;AL166,CG166,IF(Y167&lt;AL167,CG167,CG168))))))))</f>
        <v>2946.2258399999996</v>
      </c>
      <c r="CH171" s="44">
        <f>IF(Z167&lt;AL160,CH160,IF(Z167&lt;AL161,CH161,IF(Z167&lt;AL162,CH162,IF(Z167&lt;AL163,CH163,IF(Z167&lt;AL164,CH164,IF(Z167&lt;AL165,CH165,IF(Z167&lt;AL166,CH166,IF(Z167&lt;AL167,CH167,CH168))))))))</f>
        <v>0</v>
      </c>
      <c r="CI171" s="44">
        <f>IF(AA167&lt;AL160,CI160,IF(AA167&lt;AL161,CI161,IF(AA167&lt;AL162,CI162,IF(AA167&lt;AL163,CI163,IF(AA167&lt;AL164,CI164,IF(AA167&lt;AL165,CI165,IF(AA167&lt;AL166,CI166,IF(AA167&lt;AL167,CI167,CI168))))))))</f>
        <v>2007.5039996547371</v>
      </c>
      <c r="CJ171" s="44">
        <f>IF(AB167&lt;AL160,CJ160,IF(AB167&lt;AL161,CJ161,IF(AB167&lt;AL162,CJ162,IF(AB167&lt;AL163,CJ163,IF(AB167&lt;AL164,CJ164,IF(AB167&lt;AL165,CJ165,IF(AB167&lt;AL166,CJ166,IF(AB167&lt;AL167,CJ167,CJ168))))))))</f>
        <v>0</v>
      </c>
      <c r="CK171" s="44">
        <f>IF(AC167&lt;AL160,CK160,IF(AC167&lt;AL161,CK161,IF(AC167&lt;AL162,CK162,IF(AC167&lt;AL163,CK163,IF(AC167&lt;AL164,CK164,IF(AC167&lt;AL165,CK165,IF(AC167&lt;AL166,CK166,IF(AC167&lt;AL167,CK167,CK168))))))))</f>
        <v>0</v>
      </c>
      <c r="CL171" s="44">
        <f>IF(AD167&lt;AL160,CL160,IF(AD167&lt;AL161,CL161,IF(AD167&lt;AL162,CL162,IF(AD167&lt;AL163,CL163,IF(AD167&lt;AL164,CL164,IF(AD167&lt;AL165,CL165,IF(AD167&lt;AL166,CL166,IF(AD167&lt;AL167,CL167,CL168))))))))</f>
        <v>853.68925927051907</v>
      </c>
      <c r="CM171" s="44">
        <f>IF(AE167&lt;AL160,CM160,IF(AE167&lt;AL161,CM161,IF(AE167&lt;AL162,CM162,IF(AE167&lt;AL163,CM163,IF(AE167&lt;AL164,CM164,IF(AE167&lt;AL165,CM165,IF(AE167&lt;AL166,CM166,IF(AE167&lt;AL167,CM167,CM168))))))))</f>
        <v>0</v>
      </c>
      <c r="CN171" s="44" t="e">
        <f>IF(AF167&lt;AL160,CN160,IF(AF167&lt;AL161,CN161,IF(AF167&lt;AL162,CN162,IF(AF167&lt;AL163,CN163,IF(AF167&lt;AL164,CN164,IF(AF167&lt;AL165,CN165,IF(AF167&lt;AL166,CN166,IF(AF167&lt;AL167,CN167,CN168))))))))</f>
        <v>#VALUE!</v>
      </c>
      <c r="CO171" s="44">
        <f>IF(AG167&lt;AL160,CO160,IF(AG167&lt;AL161,CO161,IF(AG167&lt;AL162,CO162,IF(AG167&lt;AL163,CO163,IF(AG167&lt;AL164,CO164,IF(AG167&lt;AL165,CO165,IF(AG167&lt;AL166,CO166,IF(AG167&lt;AL167,CO167,CO168))))))))</f>
        <v>0</v>
      </c>
      <c r="CP171" s="44" t="e">
        <f>IF(AH167&lt;AL160,CP160,IF(AH167&lt;AL161,CP161,IF(AH167&lt;AL162,CP162,IF(AH167&lt;AL163,CP163,IF(AH167&lt;AL164,CP164,IF(AH167&lt;AL165,CP165,IF(AH167&lt;AL166,CP166,IF(AH167&lt;AL167,CP167,CP168))))))))</f>
        <v>#REF!</v>
      </c>
      <c r="CQ171" s="44" t="e">
        <f>IF(AI167&lt;AL160,CQ160,IF(AI167&lt;AL161,CQ161,IF(AI167&lt;AL162,CQ162,IF(AI167&lt;AL163,CQ163,IF(AI167&lt;AL164,CQ164,IF(AI167&lt;AL165,CQ165,IF(AI167&lt;AL166,CQ166,IF(AI167&lt;AL167,CQ167,CQ168))))))))</f>
        <v>#REF!</v>
      </c>
    </row>
    <row r="172" spans="17:116" hidden="1" x14ac:dyDescent="0.25">
      <c r="Q172" s="2"/>
      <c r="R172" s="3" t="s">
        <v>53</v>
      </c>
      <c r="S172" s="72">
        <f t="shared" ref="S172:AI172" si="285">IF(S168+S169+S170-CV160-CV161&lt;0,0,S168+S169+S170-CV160-CV161)</f>
        <v>9988.0360000000001</v>
      </c>
      <c r="T172" s="72">
        <f t="shared" si="285"/>
        <v>85193.726999999999</v>
      </c>
      <c r="U172" s="72">
        <f t="shared" si="285"/>
        <v>9939.2292800000014</v>
      </c>
      <c r="V172" s="72">
        <f t="shared" si="285"/>
        <v>89421.996119999996</v>
      </c>
      <c r="W172" s="72">
        <f t="shared" si="285"/>
        <v>11406.02464</v>
      </c>
      <c r="X172" s="72">
        <f t="shared" si="285"/>
        <v>87725.671920000008</v>
      </c>
      <c r="Y172" s="72">
        <f t="shared" si="285"/>
        <v>90257.616840000002</v>
      </c>
      <c r="Z172" s="72">
        <f t="shared" si="285"/>
        <v>19470.738999999998</v>
      </c>
      <c r="AA172" s="72">
        <f t="shared" si="285"/>
        <v>8863.8472788987783</v>
      </c>
      <c r="AB172" s="72">
        <f t="shared" si="285"/>
        <v>19470.738999999998</v>
      </c>
      <c r="AC172" s="72">
        <f t="shared" si="285"/>
        <v>7131.6609999999991</v>
      </c>
      <c r="AD172" s="72">
        <f t="shared" si="285"/>
        <v>20923.227314541957</v>
      </c>
      <c r="AE172" s="72">
        <f t="shared" si="285"/>
        <v>7131.6609999999991</v>
      </c>
      <c r="AF172" s="72" t="e">
        <f t="shared" si="285"/>
        <v>#VALUE!</v>
      </c>
      <c r="AG172" s="72">
        <f t="shared" si="285"/>
        <v>235900.12699999998</v>
      </c>
      <c r="AH172" s="72" t="e">
        <f t="shared" si="285"/>
        <v>#REF!</v>
      </c>
      <c r="AI172" s="72" t="e">
        <f t="shared" si="285"/>
        <v>#REF!</v>
      </c>
      <c r="AJ172" s="130">
        <f>IF((T172-S172-2250)&lt;26010,(T172-S172-2250),26010)</f>
        <v>26010</v>
      </c>
    </row>
    <row r="173" spans="17:116" ht="51" hidden="1" x14ac:dyDescent="0.25">
      <c r="Q173" s="2"/>
      <c r="R173" s="152" t="s">
        <v>96</v>
      </c>
      <c r="S173" t="s">
        <v>55</v>
      </c>
      <c r="T173" t="s">
        <v>56</v>
      </c>
      <c r="U173" t="s">
        <v>55</v>
      </c>
      <c r="V173" t="s">
        <v>56</v>
      </c>
      <c r="W173" t="s">
        <v>55</v>
      </c>
      <c r="X173" t="s">
        <v>56</v>
      </c>
      <c r="Y173" t="s">
        <v>56</v>
      </c>
      <c r="Z173" t="s">
        <v>56</v>
      </c>
      <c r="AA173" t="s">
        <v>56</v>
      </c>
      <c r="AB173" t="s">
        <v>56</v>
      </c>
      <c r="AC173" t="s">
        <v>56</v>
      </c>
      <c r="AD173" t="s">
        <v>56</v>
      </c>
      <c r="AE173" t="s">
        <v>56</v>
      </c>
      <c r="AF173" t="s">
        <v>56</v>
      </c>
      <c r="AG173" t="s">
        <v>56</v>
      </c>
      <c r="AH173" t="s">
        <v>56</v>
      </c>
      <c r="AI173" t="s">
        <v>56</v>
      </c>
      <c r="AK173" s="9" t="s">
        <v>97</v>
      </c>
      <c r="AL173" s="10"/>
      <c r="AM173" s="11" t="s">
        <v>6</v>
      </c>
      <c r="AN173" s="9"/>
      <c r="AO173" s="9"/>
      <c r="AQ173" s="12"/>
      <c r="AT173" s="12"/>
      <c r="AU173" s="12"/>
      <c r="AV173" s="12"/>
      <c r="AW173" s="12"/>
      <c r="AX173" s="12"/>
      <c r="AY173" s="12"/>
      <c r="AZ173" s="12"/>
      <c r="BA173" s="12"/>
      <c r="BB173" s="12"/>
      <c r="BC173" s="12"/>
      <c r="BD173" s="12"/>
      <c r="BE173" s="12"/>
      <c r="BF173" s="12"/>
      <c r="BG173" s="12"/>
      <c r="BH173" s="12"/>
      <c r="BI173" s="12"/>
      <c r="BJ173" s="12" t="s">
        <v>9</v>
      </c>
      <c r="BK173" s="12"/>
      <c r="BL173" s="12"/>
      <c r="BM173" s="12"/>
      <c r="BN173" s="12"/>
      <c r="BO173" s="12"/>
      <c r="BP173" s="12"/>
      <c r="BQ173" s="12"/>
      <c r="BR173" s="12"/>
      <c r="BS173" s="12"/>
      <c r="BT173" s="12"/>
      <c r="BU173" s="12"/>
      <c r="BV173" s="12"/>
      <c r="BW173" s="12"/>
      <c r="BX173" s="12"/>
      <c r="BY173" s="12"/>
      <c r="BZ173" s="12"/>
      <c r="CA173" s="12" t="s">
        <v>58</v>
      </c>
      <c r="CB173" s="12"/>
      <c r="CC173" s="12"/>
      <c r="CD173" s="12"/>
      <c r="CE173" s="12"/>
      <c r="CF173" s="12"/>
      <c r="CG173" s="12"/>
      <c r="CH173" s="12"/>
      <c r="CI173" s="12"/>
      <c r="CJ173" s="12"/>
      <c r="CK173" s="12"/>
      <c r="CL173" s="12"/>
      <c r="CM173" s="12"/>
      <c r="CN173" s="12"/>
      <c r="CO173" s="12"/>
      <c r="CP173" s="12"/>
      <c r="CQ173" s="12"/>
      <c r="CR173" s="13"/>
      <c r="CS173" s="13"/>
    </row>
    <row r="174" spans="17:116" ht="15.75" hidden="1" x14ac:dyDescent="0.25">
      <c r="Q174" s="2"/>
      <c r="R174" s="8" t="s">
        <v>11</v>
      </c>
      <c r="S174" s="97">
        <f t="shared" ref="S174:Z177" si="286">S157</f>
        <v>60000</v>
      </c>
      <c r="T174" s="97">
        <f t="shared" si="286"/>
        <v>250000</v>
      </c>
      <c r="U174" s="97">
        <f t="shared" si="286"/>
        <v>55885.760000000002</v>
      </c>
      <c r="V174" s="97">
        <f t="shared" si="286"/>
        <v>258242.24</v>
      </c>
      <c r="W174" s="97">
        <f t="shared" si="286"/>
        <v>62064</v>
      </c>
      <c r="X174" s="97">
        <f t="shared" si="286"/>
        <v>252064</v>
      </c>
      <c r="Y174" s="97">
        <f t="shared" si="286"/>
        <v>254128</v>
      </c>
      <c r="Z174" s="97">
        <f t="shared" si="286"/>
        <v>0</v>
      </c>
      <c r="AA174" s="97">
        <f t="shared" ref="AA174:AH177" si="287">AA157</f>
        <v>0</v>
      </c>
      <c r="AB174" s="97">
        <f t="shared" si="287"/>
        <v>0</v>
      </c>
      <c r="AC174" s="97">
        <f t="shared" si="287"/>
        <v>0</v>
      </c>
      <c r="AD174" s="97">
        <f t="shared" si="287"/>
        <v>0</v>
      </c>
      <c r="AE174" s="97">
        <f t="shared" si="287"/>
        <v>0</v>
      </c>
      <c r="AF174" s="97">
        <f t="shared" si="287"/>
        <v>0</v>
      </c>
      <c r="AG174" s="97">
        <f t="shared" si="287"/>
        <v>250000</v>
      </c>
      <c r="AH174" s="97">
        <f t="shared" si="287"/>
        <v>0</v>
      </c>
      <c r="AI174" s="97">
        <f t="shared" ref="AI174" si="288">AI157</f>
        <v>0</v>
      </c>
      <c r="AJ174" s="196">
        <f>W188+X188</f>
        <v>3370.2952800000003</v>
      </c>
      <c r="AK174" s="9"/>
      <c r="AL174" s="10"/>
      <c r="AM174" s="98"/>
      <c r="AN174" s="9" t="s">
        <v>98</v>
      </c>
      <c r="AO174" s="9"/>
      <c r="AP174" s="99"/>
      <c r="AQ174" s="100" t="s">
        <v>12</v>
      </c>
      <c r="AR174" s="100"/>
      <c r="AS174" s="101" t="s">
        <v>55</v>
      </c>
      <c r="AT174" t="s">
        <v>56</v>
      </c>
      <c r="BJ174" s="16" t="s">
        <v>16</v>
      </c>
      <c r="BK174" s="16"/>
      <c r="BL174" s="16"/>
      <c r="BM174" s="16"/>
      <c r="BN174" s="16"/>
      <c r="BO174" s="16"/>
      <c r="BP174" s="16"/>
      <c r="BQ174" s="16"/>
      <c r="BR174" s="16"/>
      <c r="BS174" s="16"/>
      <c r="BT174" s="16"/>
      <c r="BU174" s="16"/>
      <c r="BV174" s="16"/>
      <c r="BW174" s="16"/>
      <c r="BX174" s="16"/>
      <c r="BY174" s="16"/>
      <c r="BZ174" s="16"/>
      <c r="CA174" t="s">
        <v>16</v>
      </c>
      <c r="CR174" t="s">
        <v>17</v>
      </c>
      <c r="CT174" s="100"/>
      <c r="CU174" s="100"/>
      <c r="CV174" s="100"/>
      <c r="CW174" s="100"/>
    </row>
    <row r="175" spans="17:116" ht="15.75" hidden="1" x14ac:dyDescent="0.25">
      <c r="Q175" s="2"/>
      <c r="R175" s="8" t="s">
        <v>18</v>
      </c>
      <c r="S175" s="97">
        <f t="shared" si="286"/>
        <v>10800</v>
      </c>
      <c r="T175" s="97">
        <f t="shared" si="286"/>
        <v>26010</v>
      </c>
      <c r="U175" s="97">
        <f t="shared" si="286"/>
        <v>10800</v>
      </c>
      <c r="V175" s="97">
        <f t="shared" si="286"/>
        <v>26010</v>
      </c>
      <c r="W175" s="97">
        <f t="shared" si="286"/>
        <v>10800</v>
      </c>
      <c r="X175" s="97">
        <f t="shared" si="286"/>
        <v>26010</v>
      </c>
      <c r="Y175" s="97">
        <f t="shared" si="286"/>
        <v>26010</v>
      </c>
      <c r="Z175" s="97">
        <f t="shared" si="286"/>
        <v>0</v>
      </c>
      <c r="AA175" s="97">
        <f t="shared" si="287"/>
        <v>-40000</v>
      </c>
      <c r="AB175" s="97">
        <f t="shared" si="287"/>
        <v>0</v>
      </c>
      <c r="AC175" s="97">
        <f t="shared" si="287"/>
        <v>-40000</v>
      </c>
      <c r="AD175" s="97">
        <f t="shared" si="287"/>
        <v>0</v>
      </c>
      <c r="AE175" s="97">
        <f t="shared" si="287"/>
        <v>-40000</v>
      </c>
      <c r="AF175" s="97">
        <f t="shared" si="287"/>
        <v>-40000</v>
      </c>
      <c r="AG175" s="97">
        <f t="shared" si="287"/>
        <v>26010</v>
      </c>
      <c r="AH175" s="97">
        <f t="shared" si="287"/>
        <v>0</v>
      </c>
      <c r="AI175" s="97">
        <f t="shared" ref="AI175" si="289">AI158</f>
        <v>-40000</v>
      </c>
      <c r="AK175" s="102"/>
      <c r="AL175" s="103"/>
      <c r="AM175" s="104"/>
      <c r="AN175" s="9"/>
      <c r="AO175" s="9" t="s">
        <v>93</v>
      </c>
      <c r="AP175" s="100" t="s">
        <v>19</v>
      </c>
      <c r="AQ175" s="100" t="s">
        <v>20</v>
      </c>
      <c r="AR175" s="105" t="s">
        <v>21</v>
      </c>
      <c r="AS175" s="106" t="s">
        <v>22</v>
      </c>
      <c r="BJ175" s="16" t="s">
        <v>23</v>
      </c>
      <c r="BK175" s="16"/>
      <c r="BL175" s="16"/>
      <c r="BM175" s="16"/>
      <c r="BN175" s="16"/>
      <c r="BO175" s="16"/>
      <c r="BP175" s="16"/>
      <c r="BQ175" s="16"/>
      <c r="BR175" s="16"/>
      <c r="BS175" s="16"/>
      <c r="BT175" s="16"/>
      <c r="BU175" s="16"/>
      <c r="BV175" s="16"/>
      <c r="BW175" s="16"/>
      <c r="BX175" s="16"/>
      <c r="BY175" s="16"/>
      <c r="BZ175" s="16"/>
      <c r="CA175" t="s">
        <v>22</v>
      </c>
    </row>
    <row r="176" spans="17:116" ht="15.75" hidden="1" x14ac:dyDescent="0.25">
      <c r="Q176" s="2"/>
      <c r="R176" s="8"/>
      <c r="S176" s="97">
        <f t="shared" si="286"/>
        <v>0</v>
      </c>
      <c r="T176" s="97">
        <f t="shared" si="286"/>
        <v>0</v>
      </c>
      <c r="U176" s="97">
        <f t="shared" si="286"/>
        <v>0</v>
      </c>
      <c r="V176" s="97">
        <f t="shared" si="286"/>
        <v>0</v>
      </c>
      <c r="W176" s="97">
        <f t="shared" si="286"/>
        <v>0</v>
      </c>
      <c r="X176" s="97">
        <f t="shared" si="286"/>
        <v>0</v>
      </c>
      <c r="Y176" s="97">
        <f t="shared" si="286"/>
        <v>0</v>
      </c>
      <c r="Z176" s="97">
        <f t="shared" si="286"/>
        <v>0</v>
      </c>
      <c r="AA176" s="97">
        <f t="shared" si="287"/>
        <v>0</v>
      </c>
      <c r="AB176" s="97">
        <f t="shared" si="287"/>
        <v>0</v>
      </c>
      <c r="AC176" s="97">
        <f t="shared" si="287"/>
        <v>0</v>
      </c>
      <c r="AD176" s="97">
        <f t="shared" si="287"/>
        <v>0</v>
      </c>
      <c r="AE176" s="97">
        <f t="shared" si="287"/>
        <v>0</v>
      </c>
      <c r="AF176" s="97">
        <f t="shared" si="287"/>
        <v>0</v>
      </c>
      <c r="AG176" s="97">
        <f t="shared" si="287"/>
        <v>0</v>
      </c>
      <c r="AH176" s="97">
        <f t="shared" si="287"/>
        <v>0</v>
      </c>
      <c r="AI176" s="97">
        <f t="shared" ref="AI176" si="290">AI159</f>
        <v>0</v>
      </c>
      <c r="AK176" s="102"/>
      <c r="AL176" s="103"/>
      <c r="AM176" s="108"/>
      <c r="AN176" s="9"/>
      <c r="AO176" s="9"/>
      <c r="AP176" s="100"/>
      <c r="AQ176" s="100"/>
      <c r="AR176" s="105"/>
      <c r="AS176" s="106"/>
      <c r="BJ176" s="16"/>
      <c r="BK176" s="16"/>
      <c r="BL176" s="16"/>
      <c r="BM176" s="16"/>
      <c r="BN176" s="16"/>
      <c r="BO176" s="16"/>
      <c r="BP176" s="16"/>
      <c r="BQ176" s="16"/>
      <c r="BR176" s="16"/>
      <c r="BS176" s="16"/>
      <c r="BT176" s="16"/>
      <c r="BU176" s="16"/>
      <c r="BV176" s="16"/>
      <c r="BW176" s="16"/>
      <c r="BX176" s="16"/>
      <c r="BY176" s="16"/>
      <c r="BZ176" s="16"/>
      <c r="CS176" t="s">
        <v>25</v>
      </c>
      <c r="CT176" t="s">
        <v>26</v>
      </c>
      <c r="CU176" t="s">
        <v>27</v>
      </c>
      <c r="CV176" s="16" t="s">
        <v>28</v>
      </c>
      <c r="CW176" s="16" t="s">
        <v>61</v>
      </c>
      <c r="CX176" s="16" t="s">
        <v>62</v>
      </c>
      <c r="CY176" s="16" t="s">
        <v>63</v>
      </c>
      <c r="CZ176" s="16" t="s">
        <v>64</v>
      </c>
      <c r="DA176" s="16" t="s">
        <v>65</v>
      </c>
      <c r="DB176" s="16" t="s">
        <v>3</v>
      </c>
      <c r="DC176" s="16" t="s">
        <v>4</v>
      </c>
      <c r="DD176" s="16" t="s">
        <v>13</v>
      </c>
      <c r="DE176" s="4" t="s">
        <v>170</v>
      </c>
      <c r="DF176" s="4" t="s">
        <v>171</v>
      </c>
      <c r="DG176" s="4" t="s">
        <v>172</v>
      </c>
      <c r="DH176" s="4" t="s">
        <v>174</v>
      </c>
      <c r="DI176" s="4" t="s">
        <v>176</v>
      </c>
      <c r="DJ176" s="4" t="s">
        <v>192</v>
      </c>
      <c r="DK176" s="4" t="s">
        <v>196</v>
      </c>
      <c r="DL176" s="4" t="s">
        <v>198</v>
      </c>
    </row>
    <row r="177" spans="1:116" ht="15.75" hidden="1" x14ac:dyDescent="0.25">
      <c r="Q177" s="2"/>
      <c r="R177" s="8" t="s">
        <v>31</v>
      </c>
      <c r="S177" s="97">
        <f t="shared" si="286"/>
        <v>0</v>
      </c>
      <c r="T177" s="97">
        <f t="shared" si="286"/>
        <v>0</v>
      </c>
      <c r="U177" s="97">
        <f t="shared" si="286"/>
        <v>0</v>
      </c>
      <c r="V177" s="97">
        <f t="shared" si="286"/>
        <v>0</v>
      </c>
      <c r="W177" s="97">
        <f t="shared" si="286"/>
        <v>0</v>
      </c>
      <c r="X177" s="97">
        <f t="shared" si="286"/>
        <v>0</v>
      </c>
      <c r="Y177" s="97">
        <f t="shared" si="286"/>
        <v>0</v>
      </c>
      <c r="Z177" s="97">
        <f t="shared" si="286"/>
        <v>100000</v>
      </c>
      <c r="AA177" s="97">
        <f t="shared" si="287"/>
        <v>0</v>
      </c>
      <c r="AB177" s="97">
        <f t="shared" si="287"/>
        <v>100000</v>
      </c>
      <c r="AC177" s="97">
        <f t="shared" si="287"/>
        <v>0</v>
      </c>
      <c r="AD177" s="97">
        <f t="shared" si="287"/>
        <v>100000</v>
      </c>
      <c r="AE177" s="97">
        <f t="shared" si="287"/>
        <v>0</v>
      </c>
      <c r="AF177" s="97">
        <f t="shared" si="287"/>
        <v>0</v>
      </c>
      <c r="AG177" s="97">
        <f t="shared" si="287"/>
        <v>344000</v>
      </c>
      <c r="AH177" s="97" t="e">
        <f t="shared" si="287"/>
        <v>#REF!</v>
      </c>
      <c r="AI177" s="97" t="e">
        <f t="shared" ref="AI177" si="291">AI160</f>
        <v>#REF!</v>
      </c>
      <c r="AK177" s="110">
        <v>0</v>
      </c>
      <c r="AL177" s="110">
        <v>31984</v>
      </c>
      <c r="AM177" s="111">
        <v>0.248</v>
      </c>
      <c r="AN177" s="113">
        <v>-9.9000000000000008E-3</v>
      </c>
      <c r="AO177" s="113">
        <v>0.13769999999999999</v>
      </c>
      <c r="AP177" s="13">
        <f t="shared" ref="AP177:AP183" si="292">AL177-AK177</f>
        <v>31984</v>
      </c>
      <c r="AQ177" s="13">
        <f t="shared" ref="AQ177:AQ183" si="293">AP177*AM177</f>
        <v>7932.0320000000002</v>
      </c>
      <c r="AR177" s="97">
        <f>AQ177</f>
        <v>7932.0320000000002</v>
      </c>
      <c r="AS177" s="114">
        <f>S183*AM177</f>
        <v>12201.6</v>
      </c>
      <c r="AT177" s="114">
        <f>T183*AM177</f>
        <v>55549.52</v>
      </c>
      <c r="AU177" s="115">
        <f>U183*AM177</f>
        <v>11181.268480000001</v>
      </c>
      <c r="AV177" s="115">
        <f>V183*AM177</f>
        <v>57593.595519999995</v>
      </c>
      <c r="AW177" s="115">
        <f>W183*AM177</f>
        <v>12713.472</v>
      </c>
      <c r="AX177" s="43">
        <f>X183*AM177</f>
        <v>56061.392</v>
      </c>
      <c r="AY177" s="115">
        <f>Y183*AM177</f>
        <v>56573.264000000003</v>
      </c>
      <c r="AZ177" s="115">
        <f>Z183*AM177</f>
        <v>0</v>
      </c>
      <c r="BA177" s="115">
        <f>AA183*AM177</f>
        <v>9982.5720150072066</v>
      </c>
      <c r="BB177" s="43">
        <f>AB183*AM177</f>
        <v>0</v>
      </c>
      <c r="BC177" s="43">
        <f>AC183*AM177</f>
        <v>9920</v>
      </c>
      <c r="BD177" s="43">
        <f>AD183*AM177</f>
        <v>355.2683390127217</v>
      </c>
      <c r="BE177" s="43">
        <f>AE183*AM177</f>
        <v>9920</v>
      </c>
      <c r="BF177" s="43" t="e">
        <f>AF183*AM177</f>
        <v>#VALUE!</v>
      </c>
      <c r="BG177" s="43">
        <f>AG183*AM177</f>
        <v>55549.52</v>
      </c>
      <c r="BH177" s="43">
        <f>AH183*AM177</f>
        <v>0</v>
      </c>
      <c r="BI177" s="43">
        <f>AI183*AM177</f>
        <v>9920</v>
      </c>
      <c r="BJ177" s="115">
        <f>S177*AO177</f>
        <v>0</v>
      </c>
      <c r="BK177" s="147">
        <f>T177*AO177</f>
        <v>0</v>
      </c>
      <c r="BL177" s="115">
        <f>U177*AO177</f>
        <v>0</v>
      </c>
      <c r="BM177" s="115">
        <f>V177*AO177</f>
        <v>0</v>
      </c>
      <c r="BN177" s="115">
        <f>W177*AO177</f>
        <v>0</v>
      </c>
      <c r="BO177" s="115">
        <f>X177*AO177</f>
        <v>0</v>
      </c>
      <c r="BP177" s="43">
        <f>Y177*AO177</f>
        <v>0</v>
      </c>
      <c r="BQ177" s="43">
        <f>Z177*AO177</f>
        <v>13769.999999999998</v>
      </c>
      <c r="BR177" s="43">
        <f>AA177*AO177</f>
        <v>0</v>
      </c>
      <c r="BS177" s="43">
        <f>AB177*AO177</f>
        <v>13769.999999999998</v>
      </c>
      <c r="BT177" s="43">
        <f>AC177*AO177</f>
        <v>0</v>
      </c>
      <c r="BU177" s="43">
        <f>AD177*AO177</f>
        <v>13769.999999999998</v>
      </c>
      <c r="BV177" s="43">
        <f>AE177*AO177</f>
        <v>0</v>
      </c>
      <c r="BW177" s="43">
        <f>AF177*AO177</f>
        <v>0</v>
      </c>
      <c r="BX177" s="43">
        <f>AG177*AO177</f>
        <v>47368.799999999996</v>
      </c>
      <c r="BY177" s="43" t="e">
        <f>AH177*AO177</f>
        <v>#REF!</v>
      </c>
      <c r="BZ177" s="43" t="e">
        <f>AI177*AO177</f>
        <v>#REF!</v>
      </c>
      <c r="CA177" s="44">
        <f>AN177*S179</f>
        <v>0</v>
      </c>
      <c r="CB177" s="44">
        <f>AN177*T179</f>
        <v>0</v>
      </c>
      <c r="CC177" s="44">
        <f>AN177*U179</f>
        <v>-68.452560000000005</v>
      </c>
      <c r="CD177" s="44">
        <f>AN177*V179</f>
        <v>0</v>
      </c>
      <c r="CE177" s="44">
        <f>AN177*W179</f>
        <v>-34.226280000000003</v>
      </c>
      <c r="CF177" s="44">
        <f>AN177*X179</f>
        <v>-34.226280000000003</v>
      </c>
      <c r="CG177" s="44">
        <f>AN177*Y179</f>
        <v>-68.452560000000005</v>
      </c>
      <c r="CH177" s="44">
        <f>AN177*Z179</f>
        <v>0</v>
      </c>
      <c r="CI177" s="44">
        <f>AN177*AA179</f>
        <v>-98.778775330923949</v>
      </c>
      <c r="CJ177" s="44">
        <f>AN177*AB179</f>
        <v>0</v>
      </c>
      <c r="CK177" s="44">
        <f>AN177*AC179</f>
        <v>0</v>
      </c>
      <c r="CL177" s="44">
        <f>AN177*AD179</f>
        <v>-28.649232768739456</v>
      </c>
      <c r="CM177" s="44">
        <f>AN177*AE179</f>
        <v>0</v>
      </c>
      <c r="CN177" s="44">
        <f>AN177*AF179</f>
        <v>0</v>
      </c>
      <c r="CO177" s="44">
        <f>AN177*AG179</f>
        <v>0</v>
      </c>
      <c r="CP177" s="44">
        <f>AN177*AH179</f>
        <v>0</v>
      </c>
      <c r="CQ177" s="44">
        <f>AN177*AI179</f>
        <v>-4.2631651947638079E-4</v>
      </c>
      <c r="CR177" t="s">
        <v>32</v>
      </c>
      <c r="CS177">
        <v>11635</v>
      </c>
      <c r="CT177" s="117">
        <v>0.15</v>
      </c>
      <c r="CU177">
        <f>CT177*CS177</f>
        <v>1745.25</v>
      </c>
      <c r="CV177" s="16">
        <f>IF(S184&gt;CS177,CU177,CU177-(CS177-S184)*CT177)</f>
        <v>1745.25</v>
      </c>
      <c r="CW177" s="16">
        <f>IF(T184&gt;CS177,CU177,CU177-(CS177-T184)*CT177)</f>
        <v>1745.25</v>
      </c>
      <c r="CX177" s="16">
        <f>IF(U184&gt;CS177,CU177,CU177-(CS177-U184)*CT177)</f>
        <v>1745.25</v>
      </c>
      <c r="CY177" s="16">
        <f>IF(V184&gt;CS177,CU177,CU177-(CS177-V184)*CT177)</f>
        <v>1745.25</v>
      </c>
      <c r="CZ177" s="16">
        <f>IF(W184&gt;CS177,CU177,CU177-(CS177-W184)*CT177)</f>
        <v>1745.25</v>
      </c>
      <c r="DA177" s="16">
        <f>IF(X184&gt;CS177,CU177,CU177-(CS177-X184)*CT177)</f>
        <v>1745.25</v>
      </c>
      <c r="DB177" s="16">
        <f>IF(Y184&gt;CS177,CU177,CU177-(CS177-Y184)*CT177)</f>
        <v>1745.25</v>
      </c>
      <c r="DC177" s="16">
        <f>IF(Z184&gt;CS177,CU177,CU177-(CS177-Z184)*CT177)</f>
        <v>1745.25</v>
      </c>
      <c r="DD177" s="16">
        <f>IF(AA184&gt;CS177,CU177,CU177-(CS177-AA184)*CT177)</f>
        <v>1745.25</v>
      </c>
      <c r="DE177" s="219">
        <f>IF(AB184&gt;CS177,CU177,CU177-(CS177-AB184)*CT177)</f>
        <v>1745.25</v>
      </c>
      <c r="DF177" s="219">
        <f>IF(AC184&gt;CS177,CU177,CU177-(CS177-AC184)*CT177)</f>
        <v>1745.25</v>
      </c>
      <c r="DG177" s="219">
        <f>IF(AD184&gt;CS177,CU177,CU177-(CS177-AD184)*CT177)</f>
        <v>1745.25</v>
      </c>
      <c r="DH177" s="219">
        <f>IF(AE184&gt;CS177,CU177,CU177-(CS177-AE184)*CT177)</f>
        <v>1745.25</v>
      </c>
      <c r="DI177" s="219" t="e">
        <f>IF(AF184&gt;CS177,CU177,CU177-(CS177-AF184)*CT177)</f>
        <v>#VALUE!</v>
      </c>
      <c r="DJ177" s="219">
        <f>IF(AG184&gt;CS177,CU177,CU177-(CS177-AG184)*CT177)</f>
        <v>1745.25</v>
      </c>
      <c r="DK177" s="219" t="e">
        <f>IF(AH184&gt;CS177,CU177,CU177-(CS177-AH184)*CT177)</f>
        <v>#REF!</v>
      </c>
      <c r="DL177" s="219" t="e">
        <f>IF(AI184&gt;CS177,CU177,CU177-(CS177-AI184)*CT177)</f>
        <v>#REF!</v>
      </c>
    </row>
    <row r="178" spans="1:116" ht="15.75" hidden="1" x14ac:dyDescent="0.25">
      <c r="Q178" s="2"/>
      <c r="R178" s="8" t="s">
        <v>35</v>
      </c>
      <c r="S178" s="97">
        <f t="shared" ref="S178:Z178" si="294">1.16*S177</f>
        <v>0</v>
      </c>
      <c r="T178" s="97">
        <f t="shared" si="294"/>
        <v>0</v>
      </c>
      <c r="U178" s="97">
        <f t="shared" si="294"/>
        <v>0</v>
      </c>
      <c r="V178" s="97">
        <f t="shared" si="294"/>
        <v>0</v>
      </c>
      <c r="W178" s="97">
        <f t="shared" si="294"/>
        <v>0</v>
      </c>
      <c r="X178" s="97">
        <f t="shared" si="294"/>
        <v>0</v>
      </c>
      <c r="Y178" s="97">
        <f t="shared" si="294"/>
        <v>0</v>
      </c>
      <c r="Z178" s="97">
        <f t="shared" si="294"/>
        <v>115999.99999999999</v>
      </c>
      <c r="AA178" s="97">
        <f t="shared" ref="AA178:AH178" si="295">1.16*AA177</f>
        <v>0</v>
      </c>
      <c r="AB178" s="97">
        <f t="shared" si="295"/>
        <v>115999.99999999999</v>
      </c>
      <c r="AC178" s="97">
        <f t="shared" si="295"/>
        <v>0</v>
      </c>
      <c r="AD178" s="97">
        <f t="shared" si="295"/>
        <v>115999.99999999999</v>
      </c>
      <c r="AE178" s="97">
        <f t="shared" si="295"/>
        <v>0</v>
      </c>
      <c r="AF178" s="97">
        <f t="shared" si="295"/>
        <v>0</v>
      </c>
      <c r="AG178" s="97">
        <f t="shared" si="295"/>
        <v>399040</v>
      </c>
      <c r="AH178" s="97" t="e">
        <f t="shared" si="295"/>
        <v>#REF!</v>
      </c>
      <c r="AI178" s="97" t="e">
        <f t="shared" ref="AI178" si="296">1.16*AI177</f>
        <v>#REF!</v>
      </c>
      <c r="AK178" s="118">
        <f>AL177+1</f>
        <v>31985</v>
      </c>
      <c r="AL178" s="119">
        <v>46605</v>
      </c>
      <c r="AM178" s="120">
        <v>0.28799999999999998</v>
      </c>
      <c r="AN178" s="122">
        <v>4.53E-2</v>
      </c>
      <c r="AO178" s="122">
        <v>0.18410000000000001</v>
      </c>
      <c r="AP178" s="13">
        <f t="shared" si="292"/>
        <v>14620</v>
      </c>
      <c r="AQ178" s="13">
        <f t="shared" si="293"/>
        <v>4210.5599999999995</v>
      </c>
      <c r="AR178" s="97">
        <f t="shared" ref="AR178:AR183" si="297">AR177+AQ178</f>
        <v>12142.592000000001</v>
      </c>
      <c r="AS178" s="114">
        <f>AR177+AM178*(S183-AK178)</f>
        <v>12889.952000000001</v>
      </c>
      <c r="AT178" s="114">
        <f>AR177+AM178*(T183-AK178)</f>
        <v>63229.471999999994</v>
      </c>
      <c r="AU178" s="115">
        <f>AR177+AM178*(U183-AK178)</f>
        <v>11705.050880000001</v>
      </c>
      <c r="AV178" s="115">
        <f>AS177+AM178*(V183-AK178)</f>
        <v>69872.80511999999</v>
      </c>
      <c r="AW178" s="115">
        <f>AR177+AM178*(W183-AK178)</f>
        <v>13484.384</v>
      </c>
      <c r="AX178" s="43">
        <f>AR177+AM178*(X183-AK178)</f>
        <v>63823.903999999995</v>
      </c>
      <c r="AY178" s="115">
        <f>AR177+AM178*(Y183-AK178)</f>
        <v>64418.335999999996</v>
      </c>
      <c r="AZ178" s="115">
        <f>AR177+AM178*(Z183-AK178)</f>
        <v>-1279.6479999999983</v>
      </c>
      <c r="BA178" s="115">
        <f>AR177+AM178*(AA183-AK178)</f>
        <v>10313.01627549224</v>
      </c>
      <c r="BB178" s="43">
        <f>AR177+AM178*(AB183-AK178)</f>
        <v>-1279.6479999999983</v>
      </c>
      <c r="BC178" s="43">
        <f>AR177+AM178*(AC183-AK178)</f>
        <v>10240.351999999999</v>
      </c>
      <c r="BD178" s="43">
        <f>AR177+AM178*(AD183-AK178)</f>
        <v>-867.07831598522625</v>
      </c>
      <c r="BE178" s="43">
        <f>AR177+AM178*(AE183-AK178)</f>
        <v>10240.351999999999</v>
      </c>
      <c r="BF178" s="43" t="e">
        <f>AR177+AM178*(AF183-AK178)</f>
        <v>#VALUE!</v>
      </c>
      <c r="BG178" s="43">
        <f>AR177+AM178*(AG183-AK178)</f>
        <v>63229.471999999994</v>
      </c>
      <c r="BH178" s="43">
        <f>AR177+AM178*(AH183-AK178)</f>
        <v>-1279.6479999999983</v>
      </c>
      <c r="BI178" s="43">
        <f>AR177+AM178*(AI183-AK178)</f>
        <v>10240.351999999999</v>
      </c>
      <c r="BJ178" s="115">
        <f>S177*AO178</f>
        <v>0</v>
      </c>
      <c r="BK178" s="115">
        <f>T177*AO178</f>
        <v>0</v>
      </c>
      <c r="BL178" s="115">
        <f>U177*AO178</f>
        <v>0</v>
      </c>
      <c r="BM178" s="115">
        <f>V177*AO178</f>
        <v>0</v>
      </c>
      <c r="BN178" s="115">
        <f>W177*AO178</f>
        <v>0</v>
      </c>
      <c r="BO178" s="115">
        <f>X177*AO178</f>
        <v>0</v>
      </c>
      <c r="BP178" s="43">
        <f>Y177*AO178</f>
        <v>0</v>
      </c>
      <c r="BQ178" s="43">
        <f>Z177*AO178</f>
        <v>18410</v>
      </c>
      <c r="BR178" s="43">
        <f>AA177*AO178</f>
        <v>0</v>
      </c>
      <c r="BS178" s="43">
        <f>AB177*AO178</f>
        <v>18410</v>
      </c>
      <c r="BT178" s="43">
        <f>AC177*AO178</f>
        <v>0</v>
      </c>
      <c r="BU178" s="43">
        <f>AD177*AO178</f>
        <v>18410</v>
      </c>
      <c r="BV178" s="43">
        <f>AE177*AO178</f>
        <v>0</v>
      </c>
      <c r="BW178" s="43">
        <f>AF177*AO178</f>
        <v>0</v>
      </c>
      <c r="BX178" s="43">
        <f>AG177*AO178</f>
        <v>63330.400000000001</v>
      </c>
      <c r="BY178" s="43" t="e">
        <f>AH177*AO178</f>
        <v>#REF!</v>
      </c>
      <c r="BZ178" s="43" t="e">
        <f>AI177*AO178</f>
        <v>#REF!</v>
      </c>
      <c r="CA178" s="44">
        <f>AN178*S179</f>
        <v>0</v>
      </c>
      <c r="CB178" s="44">
        <f>AN178*T179</f>
        <v>0</v>
      </c>
      <c r="CC178" s="44">
        <f>AN178*U179</f>
        <v>313.22231999999997</v>
      </c>
      <c r="CD178" s="44">
        <f>AN178*V179</f>
        <v>0</v>
      </c>
      <c r="CE178" s="44">
        <f>AN178*W179</f>
        <v>156.61115999999998</v>
      </c>
      <c r="CF178" s="44">
        <f>AN178*X179</f>
        <v>156.61115999999998</v>
      </c>
      <c r="CG178" s="44">
        <f>AN178*Y179</f>
        <v>313.22231999999997</v>
      </c>
      <c r="CH178" s="44">
        <f>AN178*Z179</f>
        <v>0</v>
      </c>
      <c r="CI178" s="44">
        <f>AN178*AA179</f>
        <v>451.98772954453079</v>
      </c>
      <c r="CJ178" s="44">
        <f>AN178*AB179</f>
        <v>0</v>
      </c>
      <c r="CK178" s="44">
        <f>AN178*AC179</f>
        <v>0</v>
      </c>
      <c r="CL178" s="44">
        <f>AN178*AD179</f>
        <v>131.09194388120176</v>
      </c>
      <c r="CM178" s="44">
        <f>AN178*AE179</f>
        <v>0</v>
      </c>
      <c r="CN178" s="44">
        <f>AN178*AF179</f>
        <v>0</v>
      </c>
      <c r="CO178" s="44">
        <f>AN178*AG179</f>
        <v>0</v>
      </c>
      <c r="CP178" s="44">
        <f>AN178*AH179</f>
        <v>0</v>
      </c>
      <c r="CQ178" s="44">
        <f>AN178*AI179</f>
        <v>1.9507210436646514E-3</v>
      </c>
      <c r="CR178" t="s">
        <v>36</v>
      </c>
      <c r="CS178">
        <v>8160</v>
      </c>
      <c r="CT178" s="117">
        <v>9.8000000000000004E-2</v>
      </c>
      <c r="CU178">
        <f>CT178*CS178</f>
        <v>799.68000000000006</v>
      </c>
      <c r="CV178" s="16">
        <f>IF(S184&gt;CS178,CU178,CU178-(CS178-S184)*CT178)</f>
        <v>799.68000000000006</v>
      </c>
      <c r="CW178" s="16">
        <f>IF(T184&gt;CS178,CU178,CU178-(CS178-T184)*CT178)</f>
        <v>799.68000000000006</v>
      </c>
      <c r="CX178" s="16">
        <f>IF(U184&gt;CS178,CU178,CU178-(CS178-U184)*CT178)</f>
        <v>799.68000000000006</v>
      </c>
      <c r="CY178" s="16">
        <f>IF(V184&gt;CS178,CU178,CU178-(CS178-V184)*CT178)</f>
        <v>799.68000000000006</v>
      </c>
      <c r="CZ178" s="16">
        <f>IF(W184&gt;CS178,CU178,CU178-(CS178-W184)*CT178)</f>
        <v>799.68000000000006</v>
      </c>
      <c r="DA178" s="16">
        <f>IF(X184&gt;CS178,CU178,CU178-(CS178-X184)*CT178)</f>
        <v>799.68000000000006</v>
      </c>
      <c r="DB178" s="16">
        <f>IF(Y184&gt;CS178,CU178,CU178-(CS178-Y184)*CT178)</f>
        <v>799.68000000000006</v>
      </c>
      <c r="DC178" s="16">
        <f>IF(Z184&gt;CS178,CU178,CU178-(CS178-Z184)*CT178)</f>
        <v>799.68000000000006</v>
      </c>
      <c r="DD178" s="16">
        <f>IF(AA184&gt;CS178,CU178,CU178-(CS178-AA184)*CT178)</f>
        <v>799.68000000000006</v>
      </c>
      <c r="DE178" s="219">
        <f>IF(AB184&gt;CS178,CU178,CU178-(CS178-AB184)*CT178)</f>
        <v>799.68000000000006</v>
      </c>
      <c r="DF178" s="219">
        <f>IF(AC184&gt;CS178,CU178,CU178-(CS178-AC184)*CT178)</f>
        <v>799.68000000000006</v>
      </c>
      <c r="DG178" s="219">
        <f>IF(AD184&gt;CS178,CU178,CU178-(CS178-AD184)*CT178)</f>
        <v>799.68000000000006</v>
      </c>
      <c r="DH178" s="219">
        <f>IF(AE184&gt;CS178,CU178,CU178-(CS178-AE184)*CT178)</f>
        <v>799.68000000000006</v>
      </c>
      <c r="DI178" s="219" t="e">
        <f>IF(AF184&gt;CS178,CU178,CU178-(CS178-AF184)*CT178)</f>
        <v>#VALUE!</v>
      </c>
      <c r="DJ178" s="219">
        <f>IF(AG184&gt;CS178,CU178,CU178-(CS178-AG184)*CT178)</f>
        <v>799.68000000000006</v>
      </c>
      <c r="DK178" s="219" t="e">
        <f>IF(AH184&gt;CS178,CU178,CU178-(CS178-AH184)*CT178)</f>
        <v>#REF!</v>
      </c>
      <c r="DL178" s="219" t="e">
        <f>IF(AI184&gt;CS178,CU178,CU178-(CS178-AI184)*CT178)</f>
        <v>#REF!</v>
      </c>
    </row>
    <row r="179" spans="1:116" ht="15.75" hidden="1" x14ac:dyDescent="0.25">
      <c r="Q179" s="2"/>
      <c r="R179" s="8" t="s">
        <v>38</v>
      </c>
      <c r="S179" s="97">
        <f t="shared" ref="S179:Z179" si="298">S162</f>
        <v>0</v>
      </c>
      <c r="T179" s="97">
        <f t="shared" si="298"/>
        <v>0</v>
      </c>
      <c r="U179" s="97">
        <f t="shared" si="298"/>
        <v>6914.4</v>
      </c>
      <c r="V179" s="97">
        <f t="shared" si="298"/>
        <v>0</v>
      </c>
      <c r="W179" s="97">
        <f t="shared" si="298"/>
        <v>3457.2</v>
      </c>
      <c r="X179" s="97">
        <f t="shared" si="298"/>
        <v>3457.2</v>
      </c>
      <c r="Y179" s="97">
        <f t="shared" si="298"/>
        <v>6914.4</v>
      </c>
      <c r="Z179" s="97">
        <f t="shared" si="298"/>
        <v>0</v>
      </c>
      <c r="AA179" s="97">
        <f t="shared" ref="AA179:AH179" si="299">AA162</f>
        <v>9977.6540738307012</v>
      </c>
      <c r="AB179" s="97">
        <f t="shared" si="299"/>
        <v>0</v>
      </c>
      <c r="AC179" s="97">
        <f t="shared" si="299"/>
        <v>0</v>
      </c>
      <c r="AD179" s="97">
        <f t="shared" si="299"/>
        <v>2893.8618958322681</v>
      </c>
      <c r="AE179" s="97">
        <f t="shared" si="299"/>
        <v>0</v>
      </c>
      <c r="AF179" s="97">
        <f t="shared" si="299"/>
        <v>0</v>
      </c>
      <c r="AG179" s="97">
        <f t="shared" si="299"/>
        <v>0</v>
      </c>
      <c r="AH179" s="97">
        <f t="shared" si="299"/>
        <v>0</v>
      </c>
      <c r="AI179" s="97">
        <f t="shared" ref="AI179" si="300">AI162</f>
        <v>4.3062274694583916E-2</v>
      </c>
      <c r="AK179" s="67">
        <f t="shared" ref="AK179:AK184" si="301">AL178+1</f>
        <v>46606</v>
      </c>
      <c r="AL179" s="123">
        <v>63969</v>
      </c>
      <c r="AM179" s="111">
        <v>0.34300000000000003</v>
      </c>
      <c r="AN179" s="113">
        <v>0.1212</v>
      </c>
      <c r="AO179" s="113">
        <v>0.24790000000000001</v>
      </c>
      <c r="AP179" s="13">
        <f t="shared" si="292"/>
        <v>17363</v>
      </c>
      <c r="AQ179" s="13">
        <f t="shared" si="293"/>
        <v>5955.5090000000009</v>
      </c>
      <c r="AR179" s="97">
        <f t="shared" si="297"/>
        <v>18098.101000000002</v>
      </c>
      <c r="AS179" s="114">
        <f>AR178+AM179*(S183-AK179)</f>
        <v>13032.334000000001</v>
      </c>
      <c r="AT179" s="114">
        <f>AR178+AM179*(T183-AK179)</f>
        <v>72985.304000000004</v>
      </c>
      <c r="AU179" s="115">
        <f>AR178+AM179*(U183-AK179)</f>
        <v>11621.14968</v>
      </c>
      <c r="AV179" s="115">
        <f>AS178+AM179*(V183-AK179)</f>
        <v>76559.75232</v>
      </c>
      <c r="AW179" s="115">
        <f>AR178+AM179*(W183-AK179)</f>
        <v>13740.286</v>
      </c>
      <c r="AX179" s="43">
        <f>AS178+AM179*(X183-AK179)</f>
        <v>74440.616000000009</v>
      </c>
      <c r="AY179" s="115">
        <f>AR178+AM179*(Y183-AK179)</f>
        <v>74401.207999999999</v>
      </c>
      <c r="AZ179" s="115">
        <f>AR178+AM179*(Z183-AK179)</f>
        <v>-3843.2660000000014</v>
      </c>
      <c r="BA179" s="115">
        <f>AR178+AM179*(AA183-AK179)</f>
        <v>9963.2751336591609</v>
      </c>
      <c r="BB179" s="43">
        <f>AR178+AM179*(AB183-AK179)</f>
        <v>-3843.2660000000014</v>
      </c>
      <c r="BC179" s="43">
        <f>AR178+AM179*(AC183-AK179)</f>
        <v>9876.7340000000004</v>
      </c>
      <c r="BD179" s="43">
        <f>AR178+AM179*(AD183-AK179)</f>
        <v>-3351.9069666074047</v>
      </c>
      <c r="BE179" s="43">
        <f>AR178+AM179*(AE183-AK179)</f>
        <v>9876.7340000000004</v>
      </c>
      <c r="BF179" s="43" t="e">
        <f>AR178+AM179*(AF183-AK179)</f>
        <v>#VALUE!</v>
      </c>
      <c r="BG179" s="43">
        <f>AR178+AM179*(AG183-AK179)</f>
        <v>72985.304000000004</v>
      </c>
      <c r="BH179" s="43">
        <f>AR178+AM179*(AH183-AK179)</f>
        <v>-3843.2660000000014</v>
      </c>
      <c r="BI179" s="43">
        <f>AR178+AM179*(AI183-AK179)</f>
        <v>9876.7340000000004</v>
      </c>
      <c r="BJ179" s="115">
        <f>S177*AO179</f>
        <v>0</v>
      </c>
      <c r="BK179" s="147">
        <f>T177*AO179</f>
        <v>0</v>
      </c>
      <c r="BL179" s="115">
        <f>U177*AO179</f>
        <v>0</v>
      </c>
      <c r="BM179" s="115">
        <f>V177*AO179</f>
        <v>0</v>
      </c>
      <c r="BN179" s="115">
        <f>W177*AO179</f>
        <v>0</v>
      </c>
      <c r="BO179" s="115">
        <f>X177*AO179</f>
        <v>0</v>
      </c>
      <c r="BP179" s="43">
        <f>Y177*AO179</f>
        <v>0</v>
      </c>
      <c r="BQ179" s="43">
        <f>Z177*AO179</f>
        <v>24790</v>
      </c>
      <c r="BR179" s="43">
        <f>AA177*AO179</f>
        <v>0</v>
      </c>
      <c r="BS179" s="43">
        <f>AB177*AO179</f>
        <v>24790</v>
      </c>
      <c r="BT179" s="43">
        <f>AC177*AO179</f>
        <v>0</v>
      </c>
      <c r="BU179" s="43">
        <f>AD177*AO179</f>
        <v>24790</v>
      </c>
      <c r="BV179" s="43">
        <f>AE177*AO179</f>
        <v>0</v>
      </c>
      <c r="BW179" s="43">
        <f>AF177*AO179</f>
        <v>0</v>
      </c>
      <c r="BX179" s="43">
        <f>AG177*AO179</f>
        <v>85277.6</v>
      </c>
      <c r="BY179" s="43" t="e">
        <f>AH177*AO179</f>
        <v>#REF!</v>
      </c>
      <c r="BZ179" s="43" t="e">
        <f>AI177*AO179</f>
        <v>#REF!</v>
      </c>
      <c r="CA179" s="44">
        <f>AN179*S179</f>
        <v>0</v>
      </c>
      <c r="CB179" s="44">
        <f>AN179*T179</f>
        <v>0</v>
      </c>
      <c r="CC179" s="44">
        <f>AN179*U179</f>
        <v>838.02527999999995</v>
      </c>
      <c r="CD179" s="44">
        <f>AN179*V179</f>
        <v>0</v>
      </c>
      <c r="CE179" s="44">
        <f>AN179*W179</f>
        <v>419.01263999999998</v>
      </c>
      <c r="CF179" s="44">
        <f>AN179*X179</f>
        <v>419.01263999999998</v>
      </c>
      <c r="CG179" s="44">
        <f>AN179*Y179</f>
        <v>838.02527999999995</v>
      </c>
      <c r="CH179" s="44">
        <f>AN179*Z179</f>
        <v>0</v>
      </c>
      <c r="CI179" s="44">
        <f>AN179*AA179</f>
        <v>1209.291673748281</v>
      </c>
      <c r="CJ179" s="44">
        <f>AN179*AB179</f>
        <v>0</v>
      </c>
      <c r="CK179" s="44">
        <f>AN179*AC179</f>
        <v>0</v>
      </c>
      <c r="CL179" s="44">
        <f>AN179*AD179</f>
        <v>350.7360617748709</v>
      </c>
      <c r="CM179" s="44">
        <f>AN179*AE179</f>
        <v>0</v>
      </c>
      <c r="CN179" s="44">
        <f>AN179*AF179</f>
        <v>0</v>
      </c>
      <c r="CO179" s="44">
        <f>AN179*AG179</f>
        <v>0</v>
      </c>
      <c r="CP179" s="44">
        <f>AN179*AH179</f>
        <v>0</v>
      </c>
      <c r="CQ179" s="44">
        <f>AN179*AI179</f>
        <v>5.2191476929835711E-3</v>
      </c>
    </row>
    <row r="180" spans="1:116" ht="15.75" hidden="1" x14ac:dyDescent="0.25">
      <c r="Q180" s="2"/>
      <c r="R180" s="8" t="s">
        <v>39</v>
      </c>
      <c r="S180" s="97">
        <f t="shared" ref="S180:Z180" si="302">S179*1.38</f>
        <v>0</v>
      </c>
      <c r="T180" s="97">
        <f t="shared" si="302"/>
        <v>0</v>
      </c>
      <c r="U180" s="97">
        <f t="shared" si="302"/>
        <v>9541.8719999999994</v>
      </c>
      <c r="V180" s="97">
        <f t="shared" si="302"/>
        <v>0</v>
      </c>
      <c r="W180" s="97">
        <f t="shared" si="302"/>
        <v>4770.9359999999997</v>
      </c>
      <c r="X180" s="97">
        <f t="shared" si="302"/>
        <v>4770.9359999999997</v>
      </c>
      <c r="Y180" s="97">
        <f t="shared" si="302"/>
        <v>9541.8719999999994</v>
      </c>
      <c r="Z180" s="97">
        <f t="shared" si="302"/>
        <v>0</v>
      </c>
      <c r="AA180" s="97">
        <f t="shared" ref="AA180:AH180" si="303">AA179*1.38</f>
        <v>13769.162621886366</v>
      </c>
      <c r="AB180" s="97">
        <f t="shared" si="303"/>
        <v>0</v>
      </c>
      <c r="AC180" s="97">
        <f t="shared" si="303"/>
        <v>0</v>
      </c>
      <c r="AD180" s="97">
        <f t="shared" si="303"/>
        <v>3993.5294162485297</v>
      </c>
      <c r="AE180" s="97">
        <f t="shared" si="303"/>
        <v>0</v>
      </c>
      <c r="AF180" s="97">
        <f t="shared" si="303"/>
        <v>0</v>
      </c>
      <c r="AG180" s="97">
        <f t="shared" si="303"/>
        <v>0</v>
      </c>
      <c r="AH180" s="97">
        <f t="shared" si="303"/>
        <v>0</v>
      </c>
      <c r="AI180" s="97">
        <f t="shared" ref="AI180" si="304">AI179*1.38</f>
        <v>5.9425939078525801E-2</v>
      </c>
      <c r="AK180" s="118">
        <f t="shared" si="301"/>
        <v>63970</v>
      </c>
      <c r="AL180" s="119">
        <v>93208</v>
      </c>
      <c r="AM180" s="120">
        <v>0.372</v>
      </c>
      <c r="AN180" s="122">
        <v>0.16120000000000001</v>
      </c>
      <c r="AO180" s="122">
        <v>0.28149999999999997</v>
      </c>
      <c r="AP180" s="13">
        <f t="shared" si="292"/>
        <v>29238</v>
      </c>
      <c r="AQ180" s="13">
        <f t="shared" si="293"/>
        <v>10876.536</v>
      </c>
      <c r="AR180" s="97">
        <f t="shared" si="297"/>
        <v>28974.637000000002</v>
      </c>
      <c r="AS180" s="114">
        <f>AR179+AM180*(S183-AK180)</f>
        <v>12603.661000000004</v>
      </c>
      <c r="AT180" s="114">
        <f>AR179+AM180*(T183-AK180)</f>
        <v>77625.540999999997</v>
      </c>
      <c r="AU180" s="115">
        <f>AR179+AM180*(U183-AK180)</f>
        <v>11073.163720000004</v>
      </c>
      <c r="AV180" s="115">
        <f>AS179+AM180*(V183-AK180)</f>
        <v>75625.887279999995</v>
      </c>
      <c r="AW180" s="115">
        <f>AR179+AM180*(W183-AK180)</f>
        <v>13371.469000000003</v>
      </c>
      <c r="AX180" s="43">
        <f>AR179+AM180*(X183-AK180)</f>
        <v>78393.349000000002</v>
      </c>
      <c r="AY180" s="115">
        <f>AR179+AM180*(Y183-AK180)</f>
        <v>79161.157000000007</v>
      </c>
      <c r="AZ180" s="115">
        <f>AR179+AM180*(Z183-AK180)</f>
        <v>-5698.7389999999978</v>
      </c>
      <c r="BA180" s="115">
        <f>AR179+AM180*(AA183-AK180)</f>
        <v>9275.119022510813</v>
      </c>
      <c r="BB180" s="43">
        <f>AR179+AM180*(AB183-AK180)</f>
        <v>-5698.7389999999978</v>
      </c>
      <c r="BC180" s="43">
        <f>AR179+AM180*(AC183-AK180)</f>
        <v>9181.2610000000022</v>
      </c>
      <c r="BD180" s="43">
        <f>AR179+AM180*(AD183-AK180)</f>
        <v>-5165.8364914809135</v>
      </c>
      <c r="BE180" s="43">
        <f>AR179+AM180*(AE183-AK180)</f>
        <v>9181.2610000000022</v>
      </c>
      <c r="BF180" s="43" t="e">
        <f>AR179+AM180*(AF183-AK180)</f>
        <v>#VALUE!</v>
      </c>
      <c r="BG180" s="43">
        <f>AR179+AM180*(AG183-AK180)</f>
        <v>77625.540999999997</v>
      </c>
      <c r="BH180" s="43">
        <f>AR179+AM180*(AH183-AK180)</f>
        <v>-5698.7389999999978</v>
      </c>
      <c r="BI180" s="43">
        <f>AR179+AM180*(AI183-AK180)</f>
        <v>9181.2610000000022</v>
      </c>
      <c r="BJ180" s="115">
        <f>S177*AO180</f>
        <v>0</v>
      </c>
      <c r="BK180" s="147">
        <f>T177*AO180</f>
        <v>0</v>
      </c>
      <c r="BL180" s="115">
        <f>U177*AO180</f>
        <v>0</v>
      </c>
      <c r="BM180" s="115">
        <f>V177*AO180</f>
        <v>0</v>
      </c>
      <c r="BN180" s="115">
        <f>W177*AO180</f>
        <v>0</v>
      </c>
      <c r="BO180" s="115">
        <f>X177*AP180</f>
        <v>0</v>
      </c>
      <c r="BP180" s="43">
        <f>Y177*AO180</f>
        <v>0</v>
      </c>
      <c r="BQ180" s="43">
        <f>Z177*AO180</f>
        <v>28149.999999999996</v>
      </c>
      <c r="BR180" s="43">
        <f>AA177*AO180</f>
        <v>0</v>
      </c>
      <c r="BS180" s="43">
        <f>AB177*AO180</f>
        <v>28149.999999999996</v>
      </c>
      <c r="BT180" s="43">
        <f>AC177*AO180</f>
        <v>0</v>
      </c>
      <c r="BU180" s="43">
        <f>AD177*AO180</f>
        <v>28149.999999999996</v>
      </c>
      <c r="BV180" s="43">
        <f>AE177*AO180</f>
        <v>0</v>
      </c>
      <c r="BW180" s="43">
        <f>AF177*AO180</f>
        <v>0</v>
      </c>
      <c r="BX180" s="43">
        <f>AG177*AO180</f>
        <v>96835.999999999985</v>
      </c>
      <c r="BY180" s="43" t="e">
        <f>AH177*AO180</f>
        <v>#REF!</v>
      </c>
      <c r="BZ180" s="43" t="e">
        <f>AI177*AO180</f>
        <v>#REF!</v>
      </c>
      <c r="CA180" s="44">
        <f>AN180*S179</f>
        <v>0</v>
      </c>
      <c r="CB180" s="44">
        <f>AN180*T179</f>
        <v>0</v>
      </c>
      <c r="CC180" s="44">
        <f>AN180*U179</f>
        <v>1114.6012800000001</v>
      </c>
      <c r="CD180" s="44">
        <f>AN180*V179</f>
        <v>0</v>
      </c>
      <c r="CE180" s="44">
        <f>AN180*W179</f>
        <v>557.30064000000004</v>
      </c>
      <c r="CF180" s="44">
        <f>AN180*X179</f>
        <v>557.30064000000004</v>
      </c>
      <c r="CG180" s="44">
        <f>AN180*Y179</f>
        <v>1114.6012800000001</v>
      </c>
      <c r="CH180" s="44">
        <f>AN180*Z179</f>
        <v>0</v>
      </c>
      <c r="CI180" s="44">
        <f>AN180*AA179</f>
        <v>1608.397836701509</v>
      </c>
      <c r="CJ180" s="44">
        <f>AN180*AB179</f>
        <v>0</v>
      </c>
      <c r="CK180" s="44">
        <f>AN180*AC179</f>
        <v>0</v>
      </c>
      <c r="CL180" s="44">
        <f>AN180*AD179</f>
        <v>466.49053760816167</v>
      </c>
      <c r="CM180" s="44">
        <f>AN180*AE179</f>
        <v>0</v>
      </c>
      <c r="CN180" s="44">
        <f>AN180*AF179</f>
        <v>0</v>
      </c>
      <c r="CO180" s="44">
        <f>AN180*AG179</f>
        <v>0</v>
      </c>
      <c r="CP180" s="44">
        <f>AN180*AH179</f>
        <v>0</v>
      </c>
      <c r="CQ180" s="44">
        <f>AN180*AI179</f>
        <v>6.941638680766928E-3</v>
      </c>
    </row>
    <row r="181" spans="1:116" ht="15.75" hidden="1" x14ac:dyDescent="0.25">
      <c r="Q181" s="2"/>
      <c r="R181" s="8" t="s">
        <v>40</v>
      </c>
      <c r="S181" s="97">
        <f t="shared" ref="S181:Z182" si="305">S164</f>
        <v>0</v>
      </c>
      <c r="T181" s="97">
        <f t="shared" si="305"/>
        <v>0</v>
      </c>
      <c r="U181" s="97">
        <f t="shared" si="305"/>
        <v>0</v>
      </c>
      <c r="V181" s="97">
        <f t="shared" si="305"/>
        <v>0</v>
      </c>
      <c r="W181" s="97">
        <f t="shared" si="305"/>
        <v>0</v>
      </c>
      <c r="X181" s="97">
        <f t="shared" si="305"/>
        <v>0</v>
      </c>
      <c r="Y181" s="97">
        <f t="shared" si="305"/>
        <v>0</v>
      </c>
      <c r="Z181" s="97">
        <f t="shared" si="305"/>
        <v>0</v>
      </c>
      <c r="AA181" s="97">
        <f t="shared" ref="AA181:AH182" si="306">AA164</f>
        <v>504.6130242516665</v>
      </c>
      <c r="AB181" s="97">
        <f t="shared" si="306"/>
        <v>0</v>
      </c>
      <c r="AC181" s="97">
        <f t="shared" si="306"/>
        <v>0</v>
      </c>
      <c r="AD181" s="97">
        <f t="shared" si="306"/>
        <v>2865.0672501025942</v>
      </c>
      <c r="AE181" s="97">
        <f t="shared" si="306"/>
        <v>0</v>
      </c>
      <c r="AF181" s="97" t="str">
        <f t="shared" si="306"/>
        <v>Total Drag</v>
      </c>
      <c r="AG181" s="97">
        <f t="shared" si="306"/>
        <v>0</v>
      </c>
      <c r="AH181" s="97">
        <f t="shared" si="306"/>
        <v>0</v>
      </c>
      <c r="AI181" s="97">
        <f t="shared" ref="AI181" si="307">AI164</f>
        <v>0</v>
      </c>
      <c r="AK181" s="67">
        <f t="shared" si="301"/>
        <v>93209</v>
      </c>
      <c r="AL181" s="123">
        <v>98410</v>
      </c>
      <c r="AM181" s="111">
        <v>0.42699999999999999</v>
      </c>
      <c r="AN181" s="113">
        <v>0.23710000000000001</v>
      </c>
      <c r="AO181" s="113">
        <v>0.3453</v>
      </c>
      <c r="AP181" s="13">
        <f t="shared" si="292"/>
        <v>5201</v>
      </c>
      <c r="AQ181" s="13">
        <f t="shared" si="293"/>
        <v>2220.8269999999998</v>
      </c>
      <c r="AR181" s="97">
        <f t="shared" si="297"/>
        <v>31195.464000000004</v>
      </c>
      <c r="AS181" s="114">
        <f>AR180+AM181*(S183-AK181)</f>
        <v>10182.794000000002</v>
      </c>
      <c r="AT181" s="114">
        <f>AR180+AM181*(T183-AK181)</f>
        <v>84818.124000000011</v>
      </c>
      <c r="AU181" s="115">
        <f>AR180+AM181*(U183-AK181)</f>
        <v>8426.0135200000041</v>
      </c>
      <c r="AV181" s="115">
        <f>AS180+AM181*(V183-AK181)</f>
        <v>71966.584480000005</v>
      </c>
      <c r="AW181" s="115">
        <f>AR180+AM181*(W183-AK181)</f>
        <v>11064.122000000003</v>
      </c>
      <c r="AX181" s="43">
        <f>AR180+AM181*(X183-AK181)</f>
        <v>85699.452000000005</v>
      </c>
      <c r="AY181" s="115">
        <f>AR180+AM181*(Y183-AK181)</f>
        <v>86580.78</v>
      </c>
      <c r="AZ181" s="115">
        <f>AR180+AM181*(Z183-AK181)</f>
        <v>-10825.606</v>
      </c>
      <c r="BA181" s="115">
        <f>AR180+AM181*(AA183-AK181)</f>
        <v>6362.1288806777338</v>
      </c>
      <c r="BB181" s="43">
        <f>AR180+AM181*(AB183-AK181)</f>
        <v>-10825.606</v>
      </c>
      <c r="BC181" s="43">
        <f>AR180+AM181*(AC183-AK181)</f>
        <v>6254.3940000000039</v>
      </c>
      <c r="BD181" s="43">
        <f>AR180+AM181*(AD183-AK181)</f>
        <v>-10213.914142103094</v>
      </c>
      <c r="BE181" s="43">
        <f>AR180+AM181*(AE183-AK181)</f>
        <v>6254.3940000000039</v>
      </c>
      <c r="BF181" s="43" t="e">
        <f>AR180+AM181*(AF183-AK181)</f>
        <v>#VALUE!</v>
      </c>
      <c r="BG181" s="43">
        <f>AR180+AM181*(AG183-AK181)</f>
        <v>84818.124000000011</v>
      </c>
      <c r="BH181" s="43">
        <f>AR180+AM181*(AH183-AK181)</f>
        <v>-10825.606</v>
      </c>
      <c r="BI181" s="43">
        <f>AR180+AM181*(AI183-AK181)</f>
        <v>6254.3940000000039</v>
      </c>
      <c r="BJ181" s="115">
        <f>S177*AO181</f>
        <v>0</v>
      </c>
      <c r="BK181" s="115">
        <f>T177*AO181</f>
        <v>0</v>
      </c>
      <c r="BL181" s="115">
        <f>U177*AO181</f>
        <v>0</v>
      </c>
      <c r="BM181" s="115">
        <f>V177*AO181</f>
        <v>0</v>
      </c>
      <c r="BN181" s="115">
        <f>W177*AO181</f>
        <v>0</v>
      </c>
      <c r="BO181" s="115">
        <f>X177*AO181</f>
        <v>0</v>
      </c>
      <c r="BP181" s="43">
        <f>Y177*AO181</f>
        <v>0</v>
      </c>
      <c r="BQ181" s="43">
        <f>Z177*AO181</f>
        <v>34530</v>
      </c>
      <c r="BR181" s="43">
        <f>AA177*AO181</f>
        <v>0</v>
      </c>
      <c r="BS181" s="43">
        <f>AB177*AO181</f>
        <v>34530</v>
      </c>
      <c r="BT181" s="43">
        <f>AC177*AO181</f>
        <v>0</v>
      </c>
      <c r="BU181" s="43">
        <f>AD177*AO181</f>
        <v>34530</v>
      </c>
      <c r="BV181" s="43">
        <f>AE177*AO181</f>
        <v>0</v>
      </c>
      <c r="BW181" s="43">
        <f>AF177*AO181</f>
        <v>0</v>
      </c>
      <c r="BX181" s="43">
        <f>AG177*AO181</f>
        <v>118783.2</v>
      </c>
      <c r="BY181" s="43" t="e">
        <f>AH177*AO181</f>
        <v>#REF!</v>
      </c>
      <c r="BZ181" s="43" t="e">
        <f>AI177*AO181</f>
        <v>#REF!</v>
      </c>
      <c r="CA181" s="44">
        <f>AN181*S179</f>
        <v>0</v>
      </c>
      <c r="CB181" s="44">
        <f>AN181*T179</f>
        <v>0</v>
      </c>
      <c r="CC181" s="44">
        <f>AN181*U179</f>
        <v>1639.4042399999998</v>
      </c>
      <c r="CD181" s="44">
        <f>AN181*V179</f>
        <v>0</v>
      </c>
      <c r="CE181" s="44">
        <f>AN181*W179</f>
        <v>819.70211999999992</v>
      </c>
      <c r="CF181" s="44">
        <f>AN181*X179</f>
        <v>819.70211999999992</v>
      </c>
      <c r="CG181" s="44">
        <f>AN181*Y179</f>
        <v>1639.4042399999998</v>
      </c>
      <c r="CH181" s="44">
        <f>AN181*Z179</f>
        <v>0</v>
      </c>
      <c r="CI181" s="44">
        <f>AN181*AA179</f>
        <v>2365.7017809052595</v>
      </c>
      <c r="CJ181" s="44">
        <f>AN181*AB179</f>
        <v>0</v>
      </c>
      <c r="CK181" s="44">
        <f>AN181*AC179</f>
        <v>0</v>
      </c>
      <c r="CL181" s="44">
        <f>AN181*AD179</f>
        <v>686.13465550183082</v>
      </c>
      <c r="CM181" s="44">
        <f>AN181*AE179</f>
        <v>0</v>
      </c>
      <c r="CN181" s="44">
        <f>AN181*AF179</f>
        <v>0</v>
      </c>
      <c r="CO181" s="44">
        <f>AN181*AG179</f>
        <v>0</v>
      </c>
      <c r="CP181" s="44">
        <f>AN181*AH179</f>
        <v>0</v>
      </c>
      <c r="CQ181" s="44">
        <f>AN181*AI179</f>
        <v>1.0210065330085847E-2</v>
      </c>
    </row>
    <row r="182" spans="1:116" ht="15.75" hidden="1" x14ac:dyDescent="0.25">
      <c r="Q182" s="2"/>
      <c r="R182" s="8" t="s">
        <v>41</v>
      </c>
      <c r="S182" s="97">
        <f t="shared" si="305"/>
        <v>0</v>
      </c>
      <c r="T182" s="97">
        <f t="shared" si="305"/>
        <v>0</v>
      </c>
      <c r="U182" s="97">
        <f t="shared" si="305"/>
        <v>0</v>
      </c>
      <c r="V182" s="97">
        <f t="shared" si="305"/>
        <v>0</v>
      </c>
      <c r="W182" s="97">
        <f t="shared" si="305"/>
        <v>0</v>
      </c>
      <c r="X182" s="97">
        <f t="shared" si="305"/>
        <v>0</v>
      </c>
      <c r="Y182" s="97">
        <f t="shared" si="305"/>
        <v>0</v>
      </c>
      <c r="Z182" s="97">
        <f t="shared" si="305"/>
        <v>0</v>
      </c>
      <c r="AA182" s="97">
        <f t="shared" si="306"/>
        <v>252.30651212583325</v>
      </c>
      <c r="AB182" s="97">
        <f t="shared" si="306"/>
        <v>0</v>
      </c>
      <c r="AC182" s="97">
        <f t="shared" si="306"/>
        <v>0</v>
      </c>
      <c r="AD182" s="97">
        <f t="shared" si="306"/>
        <v>1432.5336250512971</v>
      </c>
      <c r="AE182" s="97">
        <f t="shared" si="306"/>
        <v>0</v>
      </c>
      <c r="AF182" s="97" t="e">
        <f t="shared" si="306"/>
        <v>#VALUE!</v>
      </c>
      <c r="AG182" s="97">
        <f t="shared" si="306"/>
        <v>0</v>
      </c>
      <c r="AH182" s="97">
        <f t="shared" si="306"/>
        <v>0</v>
      </c>
      <c r="AI182" s="97">
        <f t="shared" ref="AI182" si="308">AI165</f>
        <v>0</v>
      </c>
      <c r="AJ182" s="16" t="s">
        <v>67</v>
      </c>
      <c r="AK182" s="118">
        <f t="shared" si="301"/>
        <v>98411</v>
      </c>
      <c r="AL182" s="119">
        <v>144489</v>
      </c>
      <c r="AM182" s="120">
        <v>0.44369999999999998</v>
      </c>
      <c r="AN182" s="122">
        <v>0.24560000000000001</v>
      </c>
      <c r="AO182" s="122">
        <v>0.36130000000000001</v>
      </c>
      <c r="AP182" s="13">
        <f t="shared" si="292"/>
        <v>46078</v>
      </c>
      <c r="AQ182" s="13">
        <f t="shared" si="293"/>
        <v>20444.8086</v>
      </c>
      <c r="AR182" s="97">
        <f t="shared" si="297"/>
        <v>51640.272600000004</v>
      </c>
      <c r="AS182" s="114">
        <f>AR181+AM182*(S183-AK182)</f>
        <v>9360.5433000000048</v>
      </c>
      <c r="AT182" s="114">
        <f>AR181+AM182*(T183-AK182)</f>
        <v>86914.866299999994</v>
      </c>
      <c r="AU182" s="115">
        <f>AR181+AM182*(U183-AK182)</f>
        <v>7535.0550120000044</v>
      </c>
      <c r="AV182" s="115">
        <f>AS181+AM182*(V183-AK182)</f>
        <v>69559.278187999997</v>
      </c>
      <c r="AW182" s="115">
        <f>AR181+AM182*(W183-AK182)</f>
        <v>10276.340100000005</v>
      </c>
      <c r="AX182" s="43">
        <f>AR181+AM182*(X183-AK182)</f>
        <v>87830.663100000005</v>
      </c>
      <c r="AY182" s="115">
        <f>AR181+AM182*(Y183-AK182)</f>
        <v>88746.459900000002</v>
      </c>
      <c r="AZ182" s="115">
        <f>AR181+AM182*(Z183-AK182)</f>
        <v>-12469.496699999992</v>
      </c>
      <c r="BA182" s="115">
        <f>AR181+AM182*(AA183-AK182)</f>
        <v>5390.4516994302357</v>
      </c>
      <c r="BB182" s="43">
        <f>AR181+AM182*(AB183-AK182)</f>
        <v>-12469.496699999992</v>
      </c>
      <c r="BC182" s="43">
        <f>AR181+AM182*(AC183-AK182)</f>
        <v>5278.5033000000039</v>
      </c>
      <c r="BD182" s="43">
        <f>AR181+AM182*(AD183-AK182)</f>
        <v>-11833.881530564733</v>
      </c>
      <c r="BE182" s="43">
        <f>AR181+AM182*(AE183-AK182)</f>
        <v>5278.5033000000039</v>
      </c>
      <c r="BF182" s="43" t="e">
        <f>AR181+AM182*(AF183-AK182)</f>
        <v>#VALUE!</v>
      </c>
      <c r="BG182" s="43">
        <f>AR181+AM182*(AG183-AK182)</f>
        <v>86914.866299999994</v>
      </c>
      <c r="BH182" s="43">
        <f>AR181+AM182*(AH183-AK182)</f>
        <v>-12469.496699999992</v>
      </c>
      <c r="BI182" s="43">
        <f>AR181+AM182*(AI183-AK182)</f>
        <v>5278.5033000000039</v>
      </c>
      <c r="BJ182" s="115">
        <f>S177*AO182</f>
        <v>0</v>
      </c>
      <c r="BK182" s="147">
        <f>T177*AO182</f>
        <v>0</v>
      </c>
      <c r="BL182" s="115">
        <f>U177*AO182</f>
        <v>0</v>
      </c>
      <c r="BM182" s="115">
        <f>V177*AO182</f>
        <v>0</v>
      </c>
      <c r="BN182" s="115">
        <f>W177*AO182</f>
        <v>0</v>
      </c>
      <c r="BO182" s="115">
        <f>X177*AO182</f>
        <v>0</v>
      </c>
      <c r="BP182" s="43">
        <f>Y177*AO182</f>
        <v>0</v>
      </c>
      <c r="BQ182" s="43">
        <f>Z177*AO182</f>
        <v>36130</v>
      </c>
      <c r="BR182" s="43">
        <f>AA177*AO182</f>
        <v>0</v>
      </c>
      <c r="BS182" s="43">
        <f>AB177*AO182</f>
        <v>36130</v>
      </c>
      <c r="BT182" s="43">
        <f>AC177*AO182</f>
        <v>0</v>
      </c>
      <c r="BU182" s="43">
        <f>AD177*AO182</f>
        <v>36130</v>
      </c>
      <c r="BV182" s="43">
        <f>AE177*AO182</f>
        <v>0</v>
      </c>
      <c r="BW182" s="43">
        <f>AF177*AO182</f>
        <v>0</v>
      </c>
      <c r="BX182" s="43">
        <f>AG177*AO182</f>
        <v>124287.2</v>
      </c>
      <c r="BY182" s="43" t="e">
        <f>AH177*AO182</f>
        <v>#REF!</v>
      </c>
      <c r="BZ182" s="43" t="e">
        <f>AI177*AO182</f>
        <v>#REF!</v>
      </c>
      <c r="CA182" s="44">
        <f>AN182*S179</f>
        <v>0</v>
      </c>
      <c r="CB182" s="44">
        <f>AN182*T179</f>
        <v>0</v>
      </c>
      <c r="CC182" s="44">
        <f>AN182*U179</f>
        <v>1698.1766399999999</v>
      </c>
      <c r="CD182" s="44">
        <f>AN182*V179</f>
        <v>0</v>
      </c>
      <c r="CE182" s="44">
        <f>AN182*W179</f>
        <v>849.08831999999995</v>
      </c>
      <c r="CF182" s="44">
        <f>AN182*X179</f>
        <v>849.08831999999995</v>
      </c>
      <c r="CG182" s="44">
        <f>AN182*Y179</f>
        <v>1698.1766399999999</v>
      </c>
      <c r="CH182" s="44">
        <f>AN182*Z179</f>
        <v>0</v>
      </c>
      <c r="CI182" s="44">
        <f>AN182*AA179</f>
        <v>2450.5118405328203</v>
      </c>
      <c r="CJ182" s="44">
        <f>AN182*AB179</f>
        <v>0</v>
      </c>
      <c r="CK182" s="44">
        <f>AN182*AC179</f>
        <v>0</v>
      </c>
      <c r="CL182" s="44">
        <f>AN182*AD179</f>
        <v>710.73248161640504</v>
      </c>
      <c r="CM182" s="44">
        <f>AN182*AE179</f>
        <v>0</v>
      </c>
      <c r="CN182" s="44">
        <f>AN182*AF179</f>
        <v>0</v>
      </c>
      <c r="CO182" s="44">
        <f>AN182*AG179</f>
        <v>0</v>
      </c>
      <c r="CP182" s="44">
        <f>AN182*AH179</f>
        <v>0</v>
      </c>
      <c r="CQ182" s="44">
        <f>AN182*AI179</f>
        <v>1.0576094664989811E-2</v>
      </c>
    </row>
    <row r="183" spans="1:116" ht="15.75" hidden="1" x14ac:dyDescent="0.25">
      <c r="Q183" s="2"/>
      <c r="R183" s="14" t="s">
        <v>43</v>
      </c>
      <c r="S183" s="130">
        <f t="shared" ref="S183:Z183" si="309">S174-S175+S182</f>
        <v>49200</v>
      </c>
      <c r="T183" s="130">
        <f t="shared" si="309"/>
        <v>223990</v>
      </c>
      <c r="U183" s="130">
        <f t="shared" si="309"/>
        <v>45085.760000000002</v>
      </c>
      <c r="V183" s="130">
        <f t="shared" si="309"/>
        <v>232232.24</v>
      </c>
      <c r="W183" s="130">
        <f t="shared" si="309"/>
        <v>51264</v>
      </c>
      <c r="X183" s="130">
        <f t="shared" si="309"/>
        <v>226054</v>
      </c>
      <c r="Y183" s="130">
        <f t="shared" si="309"/>
        <v>228118</v>
      </c>
      <c r="Z183" s="130">
        <f t="shared" si="309"/>
        <v>0</v>
      </c>
      <c r="AA183" s="130">
        <f t="shared" ref="AA183:AH183" si="310">AA174-AA175+AA182</f>
        <v>40252.306512125833</v>
      </c>
      <c r="AB183" s="130">
        <f t="shared" si="310"/>
        <v>0</v>
      </c>
      <c r="AC183" s="130">
        <f t="shared" si="310"/>
        <v>40000</v>
      </c>
      <c r="AD183" s="130">
        <f t="shared" si="310"/>
        <v>1432.5336250512971</v>
      </c>
      <c r="AE183" s="130">
        <f t="shared" si="310"/>
        <v>40000</v>
      </c>
      <c r="AF183" s="130" t="e">
        <f t="shared" si="310"/>
        <v>#VALUE!</v>
      </c>
      <c r="AG183" s="130">
        <f t="shared" si="310"/>
        <v>223990</v>
      </c>
      <c r="AH183" s="130">
        <f t="shared" si="310"/>
        <v>0</v>
      </c>
      <c r="AI183" s="130">
        <f t="shared" ref="AI183" si="311">AI174-AI175+AI182</f>
        <v>40000</v>
      </c>
      <c r="AJ183">
        <f>IF(S183&lt;AL177,AM177,IF(S183&lt;AL178,AM178,IF(S183&lt;AL179,AM179,IF(S183&lt;AL180,AM180,IF(S183&lt;AL181,AM181,IF(S183&lt;AL182,AM182,IF(S183&lt;AL183,AM183,AM184)))))))</f>
        <v>0.34300000000000003</v>
      </c>
      <c r="AK183" s="67">
        <f t="shared" si="301"/>
        <v>144490</v>
      </c>
      <c r="AL183" s="123">
        <v>205842</v>
      </c>
      <c r="AM183" s="111">
        <v>0.47370000000000001</v>
      </c>
      <c r="AN183" s="113">
        <v>0.28699999999999998</v>
      </c>
      <c r="AO183" s="113">
        <v>0.39610000000000001</v>
      </c>
      <c r="AP183" s="13">
        <f t="shared" si="292"/>
        <v>61352</v>
      </c>
      <c r="AQ183" s="13">
        <f t="shared" si="293"/>
        <v>29062.4424</v>
      </c>
      <c r="AR183" s="97">
        <f t="shared" si="297"/>
        <v>80702.714999999997</v>
      </c>
      <c r="AS183" s="114">
        <f>AR182+AM183*(S183-AK183)</f>
        <v>6501.3996000000043</v>
      </c>
      <c r="AT183" s="114">
        <f>AR182+AM183*(T183-AK183)</f>
        <v>89299.422600000005</v>
      </c>
      <c r="AU183" s="115">
        <f>AR182+AM183*(U183-AK183)</f>
        <v>4552.4841120000056</v>
      </c>
      <c r="AV183" s="115">
        <f>AS182+AM183*(V183-AK183)</f>
        <v>50924.042388000002</v>
      </c>
      <c r="AW183" s="115">
        <f>AR182+AM183*(W183-AK183)</f>
        <v>7479.1164000000063</v>
      </c>
      <c r="AX183" s="43">
        <f>AR182+AM183*(X183-AK183)</f>
        <v>90277.139400000015</v>
      </c>
      <c r="AY183" s="115">
        <f>AR182+AM183*(Y183-AK183)</f>
        <v>91254.856200000009</v>
      </c>
      <c r="AZ183" s="115">
        <f>AR182+AM183*(Z183-AK183)</f>
        <v>-16804.640399999997</v>
      </c>
      <c r="BA183" s="115">
        <f>AR182+AM183*(AA183-AK183)</f>
        <v>2262.877194794004</v>
      </c>
      <c r="BB183" s="43">
        <f>AR182+AM183*(AB183-AK183)</f>
        <v>-16804.640399999997</v>
      </c>
      <c r="BC183" s="43">
        <f>AR182+AM183*(AC183-AK183)</f>
        <v>2143.3596000000034</v>
      </c>
      <c r="BD183" s="43">
        <f>AR182+AM183*(AD183-AK183)</f>
        <v>-16126.049221813206</v>
      </c>
      <c r="BE183" s="43">
        <f>AR182+AM183*(AE183-AK183)</f>
        <v>2143.3596000000034</v>
      </c>
      <c r="BF183" s="43" t="e">
        <f>AR182+AM183*(AF183-AK183)</f>
        <v>#VALUE!</v>
      </c>
      <c r="BG183" s="43">
        <f>AR182+AM183*(AG183-AK183)</f>
        <v>89299.422600000005</v>
      </c>
      <c r="BH183" s="43">
        <f>AR182+AM183*(AH183-AK183)</f>
        <v>-16804.640399999997</v>
      </c>
      <c r="BI183" s="43">
        <f>AR182+AM183*(AI183-AK183)</f>
        <v>2143.3596000000034</v>
      </c>
      <c r="BJ183" s="115">
        <f>S177*AO183</f>
        <v>0</v>
      </c>
      <c r="BK183" s="147">
        <f>T177*AO183</f>
        <v>0</v>
      </c>
      <c r="BL183" s="115">
        <f>U177*AO183</f>
        <v>0</v>
      </c>
      <c r="BM183" s="115">
        <f>V177*AO183</f>
        <v>0</v>
      </c>
      <c r="BN183" s="115">
        <f>W177*AO183</f>
        <v>0</v>
      </c>
      <c r="BO183" s="115">
        <f>X177*AO183</f>
        <v>0</v>
      </c>
      <c r="BP183" s="43">
        <f>Y177*AO183</f>
        <v>0</v>
      </c>
      <c r="BQ183" s="43">
        <f>Z177*AO183</f>
        <v>39610</v>
      </c>
      <c r="BR183" s="43">
        <f>AA177*AO183</f>
        <v>0</v>
      </c>
      <c r="BS183" s="43">
        <f>AB177*AO183</f>
        <v>39610</v>
      </c>
      <c r="BT183" s="43">
        <f>AC177*AO183</f>
        <v>0</v>
      </c>
      <c r="BU183" s="43">
        <f>AD177*AO183</f>
        <v>39610</v>
      </c>
      <c r="BV183" s="43">
        <f>AE177*AO183</f>
        <v>0</v>
      </c>
      <c r="BW183" s="43">
        <f>AF177*AO183</f>
        <v>0</v>
      </c>
      <c r="BX183" s="43">
        <f>AG177*AO183</f>
        <v>136258.4</v>
      </c>
      <c r="BY183" s="43" t="e">
        <f>AH177*AO183</f>
        <v>#REF!</v>
      </c>
      <c r="BZ183" s="43" t="e">
        <f>AI177*AO183</f>
        <v>#REF!</v>
      </c>
      <c r="CA183" s="44">
        <f>AN183*S179</f>
        <v>0</v>
      </c>
      <c r="CB183" s="44">
        <f>AN183*T179</f>
        <v>0</v>
      </c>
      <c r="CC183" s="44">
        <f>AN183*U179</f>
        <v>1984.4327999999998</v>
      </c>
      <c r="CD183" s="44">
        <f>AN183*V179</f>
        <v>0</v>
      </c>
      <c r="CE183" s="44">
        <f>AN183*W179</f>
        <v>992.21639999999991</v>
      </c>
      <c r="CF183" s="44">
        <f>AN183*X179</f>
        <v>992.21639999999991</v>
      </c>
      <c r="CG183" s="44">
        <f>AN183*Y179</f>
        <v>1984.4327999999998</v>
      </c>
      <c r="CH183" s="44">
        <f>AN183*Z179</f>
        <v>0</v>
      </c>
      <c r="CI183" s="44">
        <f>AN183*AA179</f>
        <v>2863.5867191894108</v>
      </c>
      <c r="CJ183" s="44">
        <f>AN183*AB179</f>
        <v>0</v>
      </c>
      <c r="CK183" s="44">
        <f>AN183*AC179</f>
        <v>0</v>
      </c>
      <c r="CL183" s="44">
        <f>AN183*AD179</f>
        <v>830.53836410386089</v>
      </c>
      <c r="CM183" s="44">
        <f>AN183*AE179</f>
        <v>0</v>
      </c>
      <c r="CN183" s="44">
        <f>AN183*AF179</f>
        <v>0</v>
      </c>
      <c r="CO183" s="44">
        <f>AN183*AG179</f>
        <v>0</v>
      </c>
      <c r="CP183" s="44">
        <f>AN183*AH179</f>
        <v>0</v>
      </c>
      <c r="CQ183" s="44">
        <f>AN183*AI179</f>
        <v>1.2358872837345583E-2</v>
      </c>
    </row>
    <row r="184" spans="1:116" ht="15.75" hidden="1" x14ac:dyDescent="0.25">
      <c r="Q184" s="2"/>
      <c r="R184" s="3" t="s">
        <v>45</v>
      </c>
      <c r="S184" s="97">
        <f t="shared" ref="S184:Z184" si="312">(S174-S175)+S178+S180+S182</f>
        <v>49200</v>
      </c>
      <c r="T184" s="135">
        <f t="shared" si="312"/>
        <v>223990</v>
      </c>
      <c r="U184" s="97">
        <f t="shared" si="312"/>
        <v>54627.631999999998</v>
      </c>
      <c r="V184" s="135">
        <f t="shared" si="312"/>
        <v>232232.24</v>
      </c>
      <c r="W184" s="97">
        <f t="shared" si="312"/>
        <v>56034.936000000002</v>
      </c>
      <c r="X184" s="135">
        <f t="shared" si="312"/>
        <v>230824.93599999999</v>
      </c>
      <c r="Y184" s="135">
        <f t="shared" si="312"/>
        <v>237659.872</v>
      </c>
      <c r="Z184" s="135">
        <f t="shared" si="312"/>
        <v>115999.99999999999</v>
      </c>
      <c r="AA184" s="135">
        <f t="shared" ref="AA184:AH184" si="313">(AA174-AA175)+AA178+AA180+AA182</f>
        <v>54021.469134012201</v>
      </c>
      <c r="AB184" s="135">
        <f t="shared" si="313"/>
        <v>115999.99999999999</v>
      </c>
      <c r="AC184" s="135">
        <f t="shared" si="313"/>
        <v>40000</v>
      </c>
      <c r="AD184" s="135">
        <f t="shared" si="313"/>
        <v>121426.06304129981</v>
      </c>
      <c r="AE184" s="135">
        <f t="shared" si="313"/>
        <v>40000</v>
      </c>
      <c r="AF184" s="135" t="e">
        <f t="shared" si="313"/>
        <v>#VALUE!</v>
      </c>
      <c r="AG184" s="135">
        <f t="shared" si="313"/>
        <v>623030</v>
      </c>
      <c r="AH184" s="135" t="e">
        <f t="shared" si="313"/>
        <v>#REF!</v>
      </c>
      <c r="AI184" s="97" t="e">
        <f>(AI174-AI175)+AI178+AI180+AI182</f>
        <v>#REF!</v>
      </c>
      <c r="AJ184">
        <f>AJ183*0.5</f>
        <v>0.17150000000000001</v>
      </c>
      <c r="AK184" s="132">
        <f t="shared" si="301"/>
        <v>205843</v>
      </c>
      <c r="AL184" s="133">
        <v>205843</v>
      </c>
      <c r="AM184" s="134">
        <v>0.51370000000000005</v>
      </c>
      <c r="AN184" s="122">
        <v>0.3422</v>
      </c>
      <c r="AO184" s="122">
        <v>0.4425</v>
      </c>
      <c r="AP184" s="13"/>
      <c r="AQ184" s="13"/>
      <c r="AR184" s="97"/>
      <c r="AS184" s="114">
        <f>AR183+AM184*(S183-AK184)</f>
        <v>235.20589999998629</v>
      </c>
      <c r="AT184" s="114">
        <f>AR183+AM184*(T183-AK184)</f>
        <v>90024.828899999993</v>
      </c>
      <c r="AU184" s="115">
        <f>AR183+AM184*(U183-AK184)</f>
        <v>-1878.2791880000004</v>
      </c>
      <c r="AV184" s="115">
        <f>AS183+AM184*(V183-AK184)</f>
        <v>20057.552188000001</v>
      </c>
      <c r="AW184" s="115">
        <f>AR183+AM184*(W183-AK184)</f>
        <v>1295.4826999999932</v>
      </c>
      <c r="AX184" s="43">
        <f>AR183+AM184*(X183-AK184)</f>
        <v>91085.1057</v>
      </c>
      <c r="AY184" s="115">
        <f>AR183+AM184*(Y183-AK184)</f>
        <v>92145.382499999992</v>
      </c>
      <c r="AZ184" s="115">
        <f>AR183+AM184*(Z183-AK184)</f>
        <v>-25038.834100000007</v>
      </c>
      <c r="BA184" s="115">
        <f>AR183+AM184*(AA183-AK184)</f>
        <v>-4361.2242447209719</v>
      </c>
      <c r="BB184" s="43">
        <f>AR183+AM184*(AB183-AK184)</f>
        <v>-25038.834100000007</v>
      </c>
      <c r="BC184" s="43">
        <f>AR183+AM184*(AC183-AK184)</f>
        <v>-4490.8341000000073</v>
      </c>
      <c r="BD184" s="43">
        <f>AR183+AM184*(AD183-AK184)</f>
        <v>-24302.941576811165</v>
      </c>
      <c r="BE184" s="43">
        <f>AR183+AM184*(AE183-AK184)</f>
        <v>-4490.8341000000073</v>
      </c>
      <c r="BF184" s="43" t="e">
        <f>AR183+AM184*(AF183-AK184)</f>
        <v>#VALUE!</v>
      </c>
      <c r="BG184" s="43">
        <f>AR183+AM184*(AG183-AK184)</f>
        <v>90024.828899999993</v>
      </c>
      <c r="BH184" s="43">
        <f>AR183+AM184*(AH183-AK184)</f>
        <v>-25038.834100000007</v>
      </c>
      <c r="BI184" s="43">
        <f>AR183+AM184*(AI183-AK184)</f>
        <v>-4490.8341000000073</v>
      </c>
      <c r="BJ184" s="115">
        <f>S177*AO184</f>
        <v>0</v>
      </c>
      <c r="BK184" s="115">
        <f>T177*AO184</f>
        <v>0</v>
      </c>
      <c r="BL184" s="115">
        <f>U177*AO184</f>
        <v>0</v>
      </c>
      <c r="BM184" s="115">
        <f>V177*AO184</f>
        <v>0</v>
      </c>
      <c r="BN184" s="115">
        <f>W177*AO184</f>
        <v>0</v>
      </c>
      <c r="BO184" s="115">
        <f>X177*AO184</f>
        <v>0</v>
      </c>
      <c r="BP184" s="43">
        <f>Y177*AO184</f>
        <v>0</v>
      </c>
      <c r="BQ184" s="43">
        <f>Z177*AO184</f>
        <v>44250</v>
      </c>
      <c r="BR184" s="43">
        <f>AA177*AO184</f>
        <v>0</v>
      </c>
      <c r="BS184" s="43">
        <f>AB177*AO184</f>
        <v>44250</v>
      </c>
      <c r="BT184" s="43">
        <f>AC177*AO184</f>
        <v>0</v>
      </c>
      <c r="BU184" s="43">
        <f>AD177*AO184</f>
        <v>44250</v>
      </c>
      <c r="BV184" s="43">
        <f>AE177*AO184</f>
        <v>0</v>
      </c>
      <c r="BW184" s="43">
        <f>AF177*AO184</f>
        <v>0</v>
      </c>
      <c r="BX184" s="43">
        <f>AG177*AO184</f>
        <v>152220</v>
      </c>
      <c r="BY184" s="43" t="e">
        <f>AH177*AO184</f>
        <v>#REF!</v>
      </c>
      <c r="BZ184" s="43" t="e">
        <f>AI177*AO184</f>
        <v>#REF!</v>
      </c>
      <c r="CA184" s="44">
        <f>AN184*S179</f>
        <v>0</v>
      </c>
      <c r="CB184" s="44">
        <f>AN184*T179</f>
        <v>0</v>
      </c>
      <c r="CC184" s="44">
        <f>AN184*U179</f>
        <v>2366.1076800000001</v>
      </c>
      <c r="CD184" s="44">
        <f>AN184*V179</f>
        <v>0</v>
      </c>
      <c r="CE184" s="44">
        <f>AN184*W179</f>
        <v>1183.05384</v>
      </c>
      <c r="CF184" s="44">
        <f>AN184*X179</f>
        <v>1183.05384</v>
      </c>
      <c r="CG184" s="44">
        <f>AN184*Y179</f>
        <v>2366.1076800000001</v>
      </c>
      <c r="CH184" s="44">
        <f>AN184*Z179</f>
        <v>0</v>
      </c>
      <c r="CI184" s="44">
        <f>AN184*AA179</f>
        <v>3414.353224064866</v>
      </c>
      <c r="CJ184" s="44">
        <f>AN184*AB179</f>
        <v>0</v>
      </c>
      <c r="CK184" s="44">
        <f>AN184*AC179</f>
        <v>0</v>
      </c>
      <c r="CL184" s="44">
        <f>AN184*AD179</f>
        <v>990.27954075380217</v>
      </c>
      <c r="CM184" s="44">
        <f>AN184*AE179</f>
        <v>0</v>
      </c>
      <c r="CN184" s="44">
        <f>AN184*AF179</f>
        <v>0</v>
      </c>
      <c r="CO184" s="44">
        <f>AN184*AG179</f>
        <v>0</v>
      </c>
      <c r="CP184" s="44">
        <f>AN184*AH179</f>
        <v>0</v>
      </c>
      <c r="CQ184" s="44">
        <f>AN184*AI179</f>
        <v>1.4735910400486616E-2</v>
      </c>
    </row>
    <row r="185" spans="1:116" ht="15.75" hidden="1" x14ac:dyDescent="0.25">
      <c r="Q185" s="2"/>
      <c r="R185" s="3" t="s">
        <v>46</v>
      </c>
      <c r="S185" s="135">
        <f>IF(S184&lt;AL177,AS177,IF(S184&lt;AL178,AS178,IF(S184&lt;AL179,AS179,IF(S184&lt;AL180,AS180,IF(S184&lt;AL181,AS181,IF(S184&lt;AL182,AS182,IF(S184&lt;AL183,AS183,AS184)))))))</f>
        <v>13032.334000000001</v>
      </c>
      <c r="T185" s="135">
        <f>IF(T184&lt;AL177,AT177,IF(T184&lt;AL178,AT178,IF(T184&lt;AL179,AT179,IF(T184&lt;AL180,AT180,IF(T184&lt;AL181,AT181,IF(T184&lt;AL182,AT182,IF(T184&lt;AL183,AT183,AT184)))))))</f>
        <v>90024.828899999993</v>
      </c>
      <c r="U185" s="135">
        <f>IF(U184&lt;AL177,AU177,IF(U184&lt;AL178,AU178,IF(U184&lt;AL179,AU179,IF(U184&lt;AL180,AU180,IF(U184&lt;AL181,AU181,IF(U184&lt;AL182,AU182,IF(U184&lt;AL183,AU183,AU184)))))))</f>
        <v>11621.14968</v>
      </c>
      <c r="V185" s="135">
        <f>IF(V184&lt;AL177,AV177,IF(V184&lt;AL178,AV178,IF(V184&lt;AL179,AV179,IF(V184&lt;AL180,AV180,IF(V184&lt;AL181,AV181,IF(V184&lt;AL182,AV182,IF(V184&lt;AL183,AV183,AV184)))))))</f>
        <v>20057.552188000001</v>
      </c>
      <c r="W185" s="135">
        <f>IF(W184&lt;AL177,AW177,IF(W184&lt;AL178,AW178,IF(W184&lt;AL179,AW179,IF(W184&lt;AL180,AW180,IF(W184&lt;AL181,AW181,IF(W184&lt;AL182,AW182,IF(W184&lt;AL183,AW183,AW184)))))))</f>
        <v>13740.286</v>
      </c>
      <c r="X185" s="135">
        <f>IF(X184&lt;AL177,AX177,IF(X184&lt;AL178,AX178,IF(X184&lt;AL179,AX179,IF(X184&lt;AL180,AX180,IF(X184&lt;AL181,AX181,IF(X184&lt;AL182,AX182,IF(X184&lt;AL183,AX183,AX184)))))))</f>
        <v>91085.1057</v>
      </c>
      <c r="Y185" s="135">
        <f>IF(Y184&lt;AL177,AY177,IF(Y184&lt;AL178,AY178,IF(Y184&lt;AL179,AY179,IF(Y184&lt;AL180,AY180,IF(Y184&lt;AL181,AY181,IF(Y184&lt;AL182,AY182,IF(Y184&lt;AL183,AY183,AY184)))))))</f>
        <v>92145.382499999992</v>
      </c>
      <c r="Z185" s="135">
        <f>IF(Z184&lt;AL177,AZ177,IF(Z184&lt;AL178,AZ178,IF(Z184&lt;AL179,AZ179,IF(Z184&lt;AL180,AZ180,IF(Z184&lt;AL181,AZ181,IF(Z184&lt;AL182,AZ182,IF(Z184&lt;AL183,AZ183,AZ184)))))))</f>
        <v>-12469.496699999992</v>
      </c>
      <c r="AA185" s="135">
        <f>IF(AA184&lt;AL177,BA177,IF(AA184&lt;AL178,BA178,IF(AA184&lt;AL179,BA179,IF(AA184&lt;AL180,BA180,IF(AA184&lt;AL181,BA181,IF(AA184&lt;AL182,BA182,IF(AA184&lt;AL183,BA183,BA184)))))))</f>
        <v>9963.2751336591609</v>
      </c>
      <c r="AB185" s="135">
        <f>IF(AB184&lt;AL177,BB177,IF(AB184&lt;AL178,BB178,IF(AB184&lt;AL179,BB179,IF(AB184&lt;AL180,BB180,IF(AB184&lt;AL181,BB181,IF(AB184&lt;AL182,BB182,IF(AB184&lt;AL183,BB183,BB184)))))))</f>
        <v>-12469.496699999992</v>
      </c>
      <c r="AC185" s="135">
        <f>IF(AC184&lt;AL177,BC177,IF(AC184&lt;AL178,BC178,IF(AC184&lt;AL179,BC179,IF(AC184&lt;AL180,BC180,IF(AC184&lt;AL181,BC181,IF(AC184&lt;AL182,BC182,IF(AC184&lt;AL183,BC183,BC184)))))))</f>
        <v>10240.351999999999</v>
      </c>
      <c r="AD185" s="135">
        <f>IF(AD184&lt;AL177,BD177,IF(AD184&lt;AL178,BD178,IF(AD184&lt;AL179,BD179,IF(AD184&lt;AL180,BD180,IF(AD184&lt;AL181,BD181,IF(AD184&lt;AL182,BD182,IF(AD184&lt;AL183,BD183,BD184)))))))</f>
        <v>-11833.881530564733</v>
      </c>
      <c r="AE185" s="135">
        <f>IF(AE184&lt;AL177,BE177,IF(AE184&lt;AL178,BE178,IF(AE184&lt;AL179,BE179,IF(AE184&lt;AL180,BE180,IF(AE184&lt;AL181,BE181,IF(AE184&lt;AL182,BE182,IF(AE184&lt;AL183,BE183,BE184)))))))</f>
        <v>10240.351999999999</v>
      </c>
      <c r="AF185" s="135" t="e">
        <f>IF(AF184&lt;AL177,BF177,IF(AF184&lt;AL178,BF178,IF(AF184&lt;AL179,BF179,IF(AF184&lt;AL180,BF180,IF(AF184&lt;AL181,BF181,IF(AF184&lt;AL182,BF182,IF(AF184&lt;AL183,BF183,BF184)))))))</f>
        <v>#VALUE!</v>
      </c>
      <c r="AG185" s="135">
        <f>IF(AG184&lt;AL177,BG177,IF(AG184&lt;AL178,BG178,IF(AG184&lt;AL179,BG179,IF(AG184&lt;AL180,BG180,IF(AG184&lt;AL181,BG181,IF(AG184&lt;AL182,BG182,IF(AG184&lt;AL183,BG183,BG184)))))))</f>
        <v>90024.828899999993</v>
      </c>
      <c r="AH185" s="135" t="e">
        <f>IF(AH184&lt;AL177,BH177,IF(AH184&lt;AL178,BH178,IF(AH184&lt;AL179,BH179,IF(AH184&lt;AL180,BH180,IF(AH184&lt;AL181,BH181,IF(AH184&lt;AL182,BH182,IF(AH184&lt;AL183,BH183,BH184)))))))</f>
        <v>#REF!</v>
      </c>
      <c r="AI185" s="135" t="e">
        <f>IF(AI184&lt;AL177,BI177,IF(AI184&lt;AL178,BI178,IF(AI184&lt;AL179,BI179,IF(AI184&lt;AL180,BI180,IF(AI184&lt;AL181,BI181,IF(AI184&lt;AL182,BI182,IF(AI184&lt;AL183,BI183,BI184)))))))</f>
        <v>#REF!</v>
      </c>
      <c r="AJ185" s="8">
        <f>IF(S184&lt;AL177,AN177,IF(S184&lt;AL178,AN178,IF(S184&lt;AL179,AN179,IF(S184&lt;AL180,AN180,IF(S184&lt;AL181,AN181,IF(S184&lt;AL182,AN182,IF(S184&lt;AL183,AN183,AN184)))))))</f>
        <v>0.1212</v>
      </c>
      <c r="AK185" s="131"/>
      <c r="AL185" s="133">
        <v>205843</v>
      </c>
      <c r="AM185" s="134">
        <v>0.51370000000000005</v>
      </c>
      <c r="AN185" s="122">
        <v>0.3422</v>
      </c>
      <c r="AO185" s="122">
        <v>0.4425</v>
      </c>
      <c r="AP185" s="13"/>
      <c r="AQ185" s="13"/>
      <c r="AR185" s="97"/>
      <c r="AS185" s="114"/>
      <c r="AT185" s="114"/>
      <c r="AU185" s="115">
        <f>AR184+AM185*(U183-AK185)</f>
        <v>23160.554912000003</v>
      </c>
      <c r="AV185" s="115" t="e">
        <f>AR184+AM185*(#REF!-AK185)</f>
        <v>#REF!</v>
      </c>
      <c r="AW185" s="115">
        <f>AR184+AM185*(W183-AK185)</f>
        <v>26334.316800000001</v>
      </c>
      <c r="AX185" s="43">
        <f>AR184+AM185*(X183-AK185)</f>
        <v>116123.93980000001</v>
      </c>
      <c r="AY185" s="115">
        <f>AR184+AM185*(Y183-AK185)</f>
        <v>117184.21660000001</v>
      </c>
      <c r="AZ185" s="115">
        <f>AR184+AM185*(Z183-AK185)</f>
        <v>0</v>
      </c>
      <c r="BA185" s="115">
        <f>AR184+AM185*(AA183-AK185)</f>
        <v>20677.609855279043</v>
      </c>
      <c r="BB185" s="43">
        <f>AR184+AM185*(AB183-AK185)</f>
        <v>0</v>
      </c>
      <c r="BC185" s="43">
        <f>AR184+AM185*(AC183-AK185)</f>
        <v>20548</v>
      </c>
      <c r="BD185" s="43">
        <f>AR184+AM185*(AD183-AK185)</f>
        <v>735.89252318885144</v>
      </c>
      <c r="BE185" s="43">
        <f>AR184+AM185*(AE183-AK185)</f>
        <v>20548</v>
      </c>
      <c r="BF185" s="43" t="e">
        <f>AR184+AM185*(AF183-AK185)</f>
        <v>#VALUE!</v>
      </c>
      <c r="BG185" s="43">
        <f>AR184+AM185*(AG183-AK185)</f>
        <v>115063.66300000002</v>
      </c>
      <c r="BH185" s="43">
        <f>AR184+AM185*(AH183-AK185)</f>
        <v>0</v>
      </c>
      <c r="BI185" s="43">
        <f>AR184+AM185*(AI183-AK185)</f>
        <v>20548</v>
      </c>
      <c r="BJ185" s="115">
        <f>S177*AO185</f>
        <v>0</v>
      </c>
      <c r="BK185" s="115">
        <f>T177*AO185</f>
        <v>0</v>
      </c>
      <c r="BL185" s="115">
        <f>U177*AO185</f>
        <v>0</v>
      </c>
      <c r="BM185" s="115">
        <f>V177*AO185</f>
        <v>0</v>
      </c>
      <c r="BN185" s="115">
        <f>W177*AO185</f>
        <v>0</v>
      </c>
      <c r="BO185" s="115">
        <f>X177*AO185</f>
        <v>0</v>
      </c>
      <c r="BP185" s="43">
        <f>Y177*AO185</f>
        <v>0</v>
      </c>
      <c r="BQ185" s="43">
        <f>Z177*AO185</f>
        <v>44250</v>
      </c>
      <c r="BR185" s="43">
        <f>AA177*AO185</f>
        <v>0</v>
      </c>
      <c r="BS185" s="43">
        <f>AB177*AO185</f>
        <v>44250</v>
      </c>
      <c r="BT185" s="43">
        <f>AC177*AO185</f>
        <v>0</v>
      </c>
      <c r="BU185" s="43">
        <f>AD177*AO185</f>
        <v>44250</v>
      </c>
      <c r="BV185" s="43">
        <f>AE177*AO185</f>
        <v>0</v>
      </c>
      <c r="BW185" s="43">
        <f>AF177*AO185</f>
        <v>0</v>
      </c>
      <c r="BX185" s="43">
        <f>AG177*AO185</f>
        <v>152220</v>
      </c>
      <c r="BY185" s="43" t="e">
        <f>AH177*AO185</f>
        <v>#REF!</v>
      </c>
      <c r="BZ185" s="43" t="e">
        <f>AI177*AO185</f>
        <v>#REF!</v>
      </c>
      <c r="CA185" s="44">
        <f>AN185*S179</f>
        <v>0</v>
      </c>
      <c r="CB185" s="44">
        <f>AN185*T179</f>
        <v>0</v>
      </c>
      <c r="CC185" s="44">
        <f>AN185*U179</f>
        <v>2366.1076800000001</v>
      </c>
      <c r="CD185" s="44">
        <f>AN185*V179</f>
        <v>0</v>
      </c>
      <c r="CE185" s="44">
        <f>AN185*W179</f>
        <v>1183.05384</v>
      </c>
      <c r="CF185" s="44">
        <f>AN185*X179</f>
        <v>1183.05384</v>
      </c>
      <c r="CG185" s="44">
        <f>AN185*Y179</f>
        <v>2366.1076800000001</v>
      </c>
      <c r="CH185" s="44">
        <f>AN185*Z179</f>
        <v>0</v>
      </c>
      <c r="CI185" s="44">
        <f>AN185*AA179</f>
        <v>3414.353224064866</v>
      </c>
      <c r="CJ185" s="44">
        <f>AN185*AB179</f>
        <v>0</v>
      </c>
      <c r="CK185" s="44">
        <f>AN185*AC179</f>
        <v>0</v>
      </c>
      <c r="CL185" s="44">
        <f>AN185*AD179</f>
        <v>990.27954075380217</v>
      </c>
      <c r="CM185" s="44">
        <f>AN185*AE179</f>
        <v>0</v>
      </c>
      <c r="CN185" s="44">
        <f>AN185*AF179</f>
        <v>0</v>
      </c>
      <c r="CO185" s="44">
        <f>AN185*AG179</f>
        <v>0</v>
      </c>
      <c r="CP185" s="44">
        <f>AN185*AH179</f>
        <v>0</v>
      </c>
      <c r="CQ185" s="44">
        <f>AN185*AI179</f>
        <v>1.4735910400486616E-2</v>
      </c>
    </row>
    <row r="186" spans="1:116" ht="15.75" hidden="1" x14ac:dyDescent="0.25">
      <c r="Q186" s="2"/>
      <c r="R186" s="3" t="s">
        <v>70</v>
      </c>
      <c r="S186" s="8">
        <f>IF(S184&lt;AL177,BJ177,IF(S184&lt;AL178,BJ178,IF(S184&lt;AL179,BJ179,IF(S184&lt;AL180,BJ180,IF(S184&lt;AL181,BJ181,IF(S184&lt;AL182,BJ182,IF(S184&lt;AL183,BJ183,BJ184)))))))</f>
        <v>0</v>
      </c>
      <c r="T186" s="8">
        <f>IF(T184&lt;AL177,BK177,IF(T184&lt;AL178,BK178,IF(T184&lt;AL179,BK179,IF(T184&lt;AL180,BK180,IF(T184&lt;AL181,BK181,IF(T184&lt;AL182,BK182,IF(T184&lt;AL183,BK183,BK184)))))))</f>
        <v>0</v>
      </c>
      <c r="U186" s="8">
        <f>IF(U184&lt;AL177,BL177,IF(U184&lt;AL178,BL178,IF(U184&lt;AL179,BL179,IF(U184&lt;AL180,BL180,IF(U184&lt;AL181,BL181,IF(U184&lt;AL182,BL182,IF(U184&lt;AL183,BL183,BL184)))))))</f>
        <v>0</v>
      </c>
      <c r="V186" s="8">
        <f>IF(V184&lt;AL177,BM177,IF(V184&lt;AL178,BM178,IF(V184&lt;AL179,BM179,IF(V184&lt;AL180,BM180,IF(V184&lt;AL181,BM181,IF(V184&lt;AL182,BM182,IF(V184&lt;AL183,BM183,BM184)))))))</f>
        <v>0</v>
      </c>
      <c r="W186" s="2">
        <f>IF(W184&lt;AL177,BN177,IF(W184&lt;AL178,BN178,IF(W184&lt;AL179,BN179,IF(W184&lt;AL180,BN180,IF(W184&lt;AL181,BN181,IF(W184&lt;AL182,BN182,IF(W184&lt;AL183,BN183,BN184)))))))</f>
        <v>0</v>
      </c>
      <c r="X186" s="2">
        <f>IF(X184&lt;AL177,BO177,IF(X184&lt;AL178,BO178,IF(X184&lt;AL179,BO179,IF(X184&lt;AL180,BO180,IF(X184&lt;AL181,BO181,IF(X184&lt;AL182,BO182,IF(X184&lt;AL183,BO183,BO184)))))))</f>
        <v>0</v>
      </c>
      <c r="Y186" s="2">
        <f>IF(Y184&lt;AL177,BP177,IF(Y184&lt;AL178,BP178,IF(Y184&lt;AL179,BP179,IF(Y184&lt;AL180,BP180,IF(Y184&lt;AL181,BP181,IF(Y184&lt;AL182,BP182,IF(Y184&lt;AL183,BP183,BP184)))))))</f>
        <v>0</v>
      </c>
      <c r="Z186" s="2">
        <f>IF(Z184&lt;AL177,BQ177,IF(Z184&lt;AL178,BQ178,IF(Z184&lt;AL179,BQ179,IF(Z184&lt;AL180,BQ180,IF(Z184&lt;AL181,BQ181,IF(Z184&lt;AL182,BQ182,IF(Z184&lt;AL183,BQ183,BQ184)))))))</f>
        <v>36130</v>
      </c>
      <c r="AA186" s="2">
        <f>IF(AA184&lt;AL177,BR177,IF(AA184&lt;AL178,BR178,IF(AA184&lt;AL179,BR179,IF(AA184&lt;AL180,BR180,IF(AA184&lt;AL181,BR181,IF(AA184&lt;AL182,BR182,IF(AA184&lt;AL183,BR183,BR184)))))))</f>
        <v>0</v>
      </c>
      <c r="AB186" s="2">
        <f>IF(AB184&lt;AL177,BS177,IF(AB184&lt;AL178,BS178,IF(AB184&lt;AL179,BS179,IF(AB184&lt;AL180,BS180,IF(AB184&lt;AL181,BS181,IF(AB184&lt;AL182,BS182,IF(AB184&lt;AL183,BS183,BS184)))))))</f>
        <v>36130</v>
      </c>
      <c r="AC186" s="2">
        <f>IF(AC184&lt;AL177,BT177,IF(AC184&lt;AL178,BT178,IF(AC184&lt;AL179,BT179,IF(AC184&lt;AL180,BT180,IF(AC184&lt;AL181,BT181,IF(AC184&lt;AL182,BT182,IF(AC184&lt;AL183,BT183,BT184)))))))</f>
        <v>0</v>
      </c>
      <c r="AD186" s="2">
        <f>IF(AD184&lt;AL177,BU177,IF(AD184&lt;AL178,BU178,IF(AD184&lt;AL179,BU179,IF(AD184&lt;AL180,BU180,IF(AD184&lt;AL181,BU181,IF(AD184&lt;AL182,BU182,IF(AD184&lt;AL183,BU183,BU184)))))))</f>
        <v>36130</v>
      </c>
      <c r="AE186" s="2">
        <f>IF(AE184&lt;AL177,BV177,IF(AE184&lt;AL178,BV178,IF(AE184&lt;AL179,BV179,IF(AE184&lt;AL180,BV180,IF(AE184&lt;AL181,BV181,IF(AE184&lt;AL182,BV182,IF(AE184&lt;AL183,BV183,BV184)))))))</f>
        <v>0</v>
      </c>
      <c r="AF186" s="2" t="e">
        <f>IF(AF184&lt;AL177,BW177,IF(AF184&lt;AL178,BW178,IF(AF184&lt;AL179,BW179,IF(AF184&lt;AL180,BW180,IF(AF184&lt;AL181,BW181,IF(AF184&lt;AL182,BW182,IF(AF184&lt;AL183,BW183,BW184)))))))</f>
        <v>#VALUE!</v>
      </c>
      <c r="AG186" s="2">
        <f>IF(AG184&lt;AL177,BX177,IF(AG184&lt;AL178,BX178,IF(AG184&lt;AL179,BX179,IF(AG184&lt;AL180,BX180,IF(AG184&lt;AL181,BX181,IF(AG184&lt;AL182,BX182,IF(AG184&lt;AL183,BX183,BX184)))))))</f>
        <v>152220</v>
      </c>
      <c r="AH186" s="2" t="e">
        <f>IF(AH184&lt;AL177,BY177,IF(AH184&lt;AL178,BY178,IF(AH184&lt;AL179,BY179,IF(AH184&lt;AL180,BY180,IF(AH184&lt;AL181,BY181,IF(AH184&lt;AL182,BY182,IF(AH184&lt;AL183,BY183,BY184)))))))</f>
        <v>#REF!</v>
      </c>
      <c r="AI186" s="2" t="e">
        <f>IF(AI184&lt;AL177,BZ177,IF(AI184&lt;AL178,BZ178,IF(AI184&lt;AL179,BZ179,IF(AI184&lt;AL180,BZ180,IF(AI184&lt;AL181,BZ181,IF(AI184&lt;AL182,BZ182,IF(AI184&lt;AL183,BZ183,BZ184)))))))</f>
        <v>#REF!</v>
      </c>
      <c r="AK186" s="141"/>
      <c r="AL186" s="133">
        <v>205843</v>
      </c>
      <c r="AM186" s="134">
        <v>0.51370000000000005</v>
      </c>
      <c r="AN186" s="122">
        <v>0.3422</v>
      </c>
      <c r="AO186" s="122">
        <v>0.4425</v>
      </c>
      <c r="AP186" s="13"/>
      <c r="AQ186" s="13"/>
      <c r="AR186" s="97"/>
      <c r="AS186" s="114"/>
      <c r="AT186" s="114"/>
      <c r="AU186" s="115">
        <f>AR185+AM186*(U183-AK186)</f>
        <v>23160.554912000003</v>
      </c>
      <c r="AV186" s="115" t="e">
        <f>AR185+AM186*(#REF!-AK186)</f>
        <v>#REF!</v>
      </c>
      <c r="AW186" s="115">
        <f>AR185+AM186*(W183-AK186)</f>
        <v>26334.316800000001</v>
      </c>
      <c r="AX186" s="43">
        <f>AR185+AM186*(X183-AK186)</f>
        <v>116123.93980000001</v>
      </c>
      <c r="AY186" s="115">
        <f>AR185+AM186*(Y183-AK186)</f>
        <v>117184.21660000001</v>
      </c>
      <c r="AZ186" s="115">
        <f>AR185+AM186*(Z183-AK186)</f>
        <v>0</v>
      </c>
      <c r="BA186" s="115">
        <f>AR185+AM186*(AA183-AK186)</f>
        <v>20677.609855279043</v>
      </c>
      <c r="BB186" s="43">
        <f>AR185+AM186*(AB183-AK186)</f>
        <v>0</v>
      </c>
      <c r="BC186" s="43">
        <f>AR185+AM186*(AC183-AK186)</f>
        <v>20548</v>
      </c>
      <c r="BD186" s="43">
        <f>AR185+AM186*(AD183-AK186)</f>
        <v>735.89252318885144</v>
      </c>
      <c r="BE186" s="43">
        <f>AR185+AM186*(AE183-AK186)</f>
        <v>20548</v>
      </c>
      <c r="BF186" s="43" t="e">
        <f>AR185+AM186*(AF183-AK186)</f>
        <v>#VALUE!</v>
      </c>
      <c r="BG186" s="43">
        <f>AR185+AM186*(AG183-AK186)</f>
        <v>115063.66300000002</v>
      </c>
      <c r="BH186" s="43">
        <f>AR185+AM186*(AH183-AK186)</f>
        <v>0</v>
      </c>
      <c r="BI186" s="43">
        <f>AR185+AM186*(AI183-AK186)</f>
        <v>20548</v>
      </c>
      <c r="BJ186" s="115">
        <f>S177*AO186</f>
        <v>0</v>
      </c>
      <c r="BK186" s="115">
        <f>T177*AO186</f>
        <v>0</v>
      </c>
      <c r="BL186" s="115">
        <f>U177*AO186</f>
        <v>0</v>
      </c>
      <c r="BM186" s="115">
        <f>V177*AO186</f>
        <v>0</v>
      </c>
      <c r="BN186" s="115">
        <f>W177*AO186</f>
        <v>0</v>
      </c>
      <c r="BO186" s="115">
        <f>X177*AO186</f>
        <v>0</v>
      </c>
      <c r="BP186" s="43">
        <f>Y177*AO186</f>
        <v>0</v>
      </c>
      <c r="BQ186" s="43">
        <f>Z177*AO186</f>
        <v>44250</v>
      </c>
      <c r="BR186" s="43">
        <f>AA177*AO186</f>
        <v>0</v>
      </c>
      <c r="BS186" s="43">
        <f>AB177*AO186</f>
        <v>44250</v>
      </c>
      <c r="BT186" s="43">
        <f>AC177*AO186</f>
        <v>0</v>
      </c>
      <c r="BU186" s="43">
        <f>AD177*AO186</f>
        <v>44250</v>
      </c>
      <c r="BV186" s="43">
        <f>AE177*AO186</f>
        <v>0</v>
      </c>
      <c r="BW186" s="43">
        <f>AF177*AO186</f>
        <v>0</v>
      </c>
      <c r="BX186" s="43">
        <f>AG177*AO186</f>
        <v>152220</v>
      </c>
      <c r="BY186" s="43" t="e">
        <f>AH177*AO186</f>
        <v>#REF!</v>
      </c>
      <c r="BZ186" s="43" t="e">
        <f>AI177*AO186</f>
        <v>#REF!</v>
      </c>
      <c r="CA186" s="44">
        <f>AN186*S179</f>
        <v>0</v>
      </c>
      <c r="CB186" s="44">
        <f>AN186*T179</f>
        <v>0</v>
      </c>
      <c r="CC186" s="44">
        <f>AN186*U179</f>
        <v>2366.1076800000001</v>
      </c>
      <c r="CD186" s="44">
        <f>AN186*V179</f>
        <v>0</v>
      </c>
      <c r="CE186" s="44">
        <f>AN186*W179</f>
        <v>1183.05384</v>
      </c>
      <c r="CF186" s="44">
        <f>AN186*X179</f>
        <v>1183.05384</v>
      </c>
      <c r="CG186" s="44">
        <f>AN186*Y179</f>
        <v>2366.1076800000001</v>
      </c>
      <c r="CH186" s="44">
        <f>AN186*Z179</f>
        <v>0</v>
      </c>
      <c r="CI186" s="44">
        <f>AN186*AA179</f>
        <v>3414.353224064866</v>
      </c>
      <c r="CJ186" s="44">
        <f>AN186*AB179</f>
        <v>0</v>
      </c>
      <c r="CK186" s="44">
        <f>AN186*AC179</f>
        <v>0</v>
      </c>
      <c r="CL186" s="44">
        <f>AN186*AD179</f>
        <v>990.27954075380217</v>
      </c>
      <c r="CM186" s="44">
        <f>AN186*AE179</f>
        <v>0</v>
      </c>
      <c r="CN186" s="44">
        <f>AN186*AF179</f>
        <v>0</v>
      </c>
      <c r="CO186" s="44">
        <f>AN186*AG179</f>
        <v>0</v>
      </c>
      <c r="CP186" s="44">
        <f>AN186*AH179</f>
        <v>0</v>
      </c>
      <c r="CQ186" s="44">
        <f>AN186*AI179</f>
        <v>1.4735910400486616E-2</v>
      </c>
    </row>
    <row r="187" spans="1:116" ht="15.75" hidden="1" x14ac:dyDescent="0.25">
      <c r="Q187" s="2"/>
      <c r="R187" s="3" t="s">
        <v>49</v>
      </c>
      <c r="S187" s="66">
        <f t="shared" ref="S187:AI187" si="314">CA188</f>
        <v>0</v>
      </c>
      <c r="T187" s="66">
        <f t="shared" si="314"/>
        <v>0</v>
      </c>
      <c r="U187" s="66">
        <f t="shared" si="314"/>
        <v>838.02527999999995</v>
      </c>
      <c r="V187" s="66">
        <f t="shared" si="314"/>
        <v>0</v>
      </c>
      <c r="W187" s="66">
        <f t="shared" si="314"/>
        <v>419.01263999999998</v>
      </c>
      <c r="X187" s="66">
        <f t="shared" si="314"/>
        <v>1183.05384</v>
      </c>
      <c r="Y187" s="66">
        <f t="shared" si="314"/>
        <v>2366.1076800000001</v>
      </c>
      <c r="Z187" s="130">
        <f t="shared" si="314"/>
        <v>0</v>
      </c>
      <c r="AA187" s="130">
        <f t="shared" si="314"/>
        <v>1209.291673748281</v>
      </c>
      <c r="AB187" s="130">
        <f t="shared" si="314"/>
        <v>0</v>
      </c>
      <c r="AC187" s="130">
        <f t="shared" si="314"/>
        <v>0</v>
      </c>
      <c r="AD187" s="130">
        <f t="shared" si="314"/>
        <v>710.73248161640504</v>
      </c>
      <c r="AE187" s="130">
        <f t="shared" si="314"/>
        <v>0</v>
      </c>
      <c r="AF187" s="130" t="e">
        <f t="shared" si="314"/>
        <v>#VALUE!</v>
      </c>
      <c r="AG187" s="130">
        <f t="shared" si="314"/>
        <v>0</v>
      </c>
      <c r="AH187" s="130" t="e">
        <f t="shared" si="314"/>
        <v>#REF!</v>
      </c>
      <c r="AI187" s="130" t="e">
        <f t="shared" si="314"/>
        <v>#REF!</v>
      </c>
      <c r="AJ187" t="e">
        <f>IF(#REF!&lt;AL177,AM177,IF(#REF!&lt;AL178,AM178,IF(#REF!&lt;AL179,AM179,IF(#REF!&lt;AL180,AM180,IF(#REF!&lt;AL181,AM181,IF(#REF!&lt;AL182,AM182,IF(#REF!&lt;AL183,AM183,AM184)))))))</f>
        <v>#REF!</v>
      </c>
      <c r="AK187" s="141"/>
      <c r="AL187" s="133">
        <v>205843</v>
      </c>
      <c r="AM187" s="134">
        <v>0.51370000000000005</v>
      </c>
      <c r="AN187" s="122">
        <v>0.3422</v>
      </c>
      <c r="AO187" s="122">
        <v>0.4425</v>
      </c>
      <c r="AP187" s="13"/>
      <c r="AQ187" s="13"/>
      <c r="AR187" s="97"/>
      <c r="AS187" s="114"/>
      <c r="AT187" s="114"/>
      <c r="AU187" s="115">
        <f>AR186+AM187*(U183-AK187)</f>
        <v>23160.554912000003</v>
      </c>
      <c r="AV187" s="115" t="e">
        <f>AR186+AM187*(#REF!-AK187)</f>
        <v>#REF!</v>
      </c>
      <c r="AW187" s="115">
        <f>AR186+AM187*(W183-AK187)</f>
        <v>26334.316800000001</v>
      </c>
      <c r="AX187" s="43">
        <f>AR186+AM187*(X183-AK187)</f>
        <v>116123.93980000001</v>
      </c>
      <c r="AY187" s="115">
        <f>AR186+AM187*(Y183-AK187)</f>
        <v>117184.21660000001</v>
      </c>
      <c r="AZ187" s="115">
        <f>AR186+AM187*(Z183-AK187)</f>
        <v>0</v>
      </c>
      <c r="BA187" s="115">
        <f>AR186+AM187*(AA183-AK187)</f>
        <v>20677.609855279043</v>
      </c>
      <c r="BB187" s="43">
        <f>AR186+AM187*(AB183-AK187)</f>
        <v>0</v>
      </c>
      <c r="BC187" s="43">
        <f>AR186+AM187*(AC183-AK187)</f>
        <v>20548</v>
      </c>
      <c r="BD187" s="43">
        <f>AR186+AM187*(AD183-AK187)</f>
        <v>735.89252318885144</v>
      </c>
      <c r="BE187" s="43">
        <f>AR186+AM187*(AE183-AK187)</f>
        <v>20548</v>
      </c>
      <c r="BF187" s="43" t="e">
        <f>AR186+AM187*(AF183-AK187)</f>
        <v>#VALUE!</v>
      </c>
      <c r="BG187" s="43">
        <f>AR186+AM187*(AG183-AK187)</f>
        <v>115063.66300000002</v>
      </c>
      <c r="BH187" s="43">
        <f>AR186+AM187*(AH183-AK187)</f>
        <v>0</v>
      </c>
      <c r="BI187" s="43">
        <f>AR186+AM187*(AI183-AK187)</f>
        <v>20548</v>
      </c>
      <c r="BJ187" s="115">
        <f>S177*AO187</f>
        <v>0</v>
      </c>
      <c r="BK187" s="115">
        <f>T177*AO187</f>
        <v>0</v>
      </c>
      <c r="BL187" s="115">
        <f>U177*AO187</f>
        <v>0</v>
      </c>
      <c r="BM187" s="115">
        <f>V177*AO187</f>
        <v>0</v>
      </c>
      <c r="BN187" s="115">
        <f>W177*AO187</f>
        <v>0</v>
      </c>
      <c r="BO187" s="115">
        <f>X177*AO187</f>
        <v>0</v>
      </c>
      <c r="BP187" s="43">
        <f>Y177*AO187</f>
        <v>0</v>
      </c>
      <c r="BQ187" s="43">
        <f>Z177*AO187</f>
        <v>44250</v>
      </c>
      <c r="BR187" s="43">
        <f>AA177*AO187</f>
        <v>0</v>
      </c>
      <c r="BS187" s="43">
        <f>AB177*AO187</f>
        <v>44250</v>
      </c>
      <c r="BT187" s="43">
        <f>AC177*AO187</f>
        <v>0</v>
      </c>
      <c r="BU187" s="43">
        <f>AD177*AO187</f>
        <v>44250</v>
      </c>
      <c r="BV187" s="43">
        <f>AE177*AO187</f>
        <v>0</v>
      </c>
      <c r="BW187" s="43">
        <f>AF177*AO187</f>
        <v>0</v>
      </c>
      <c r="BX187" s="43">
        <f>AG177*AO187</f>
        <v>152220</v>
      </c>
      <c r="BY187" s="43" t="e">
        <f>AH177*AO187</f>
        <v>#REF!</v>
      </c>
      <c r="BZ187" s="43" t="e">
        <f>AI177*AO187</f>
        <v>#REF!</v>
      </c>
      <c r="CA187" s="44">
        <f>AN187*S179</f>
        <v>0</v>
      </c>
      <c r="CB187" s="44">
        <f>AN187*T179</f>
        <v>0</v>
      </c>
      <c r="CC187" s="44">
        <f>AN187*U179</f>
        <v>2366.1076800000001</v>
      </c>
      <c r="CD187" s="44">
        <f>AN187*V179</f>
        <v>0</v>
      </c>
      <c r="CE187" s="44">
        <f>AN187*W179</f>
        <v>1183.05384</v>
      </c>
      <c r="CF187" s="44">
        <f>AN187*X179</f>
        <v>1183.05384</v>
      </c>
      <c r="CG187" s="44">
        <f>AN187*Y179</f>
        <v>2366.1076800000001</v>
      </c>
      <c r="CH187" s="44">
        <f>AN187*Z179</f>
        <v>0</v>
      </c>
      <c r="CI187" s="44">
        <f>AN187*AA179</f>
        <v>3414.353224064866</v>
      </c>
      <c r="CJ187" s="44">
        <f>AN187*AB179</f>
        <v>0</v>
      </c>
      <c r="CK187" s="44">
        <f>AN187*AC179</f>
        <v>0</v>
      </c>
      <c r="CL187" s="44">
        <f>AN187*AD179</f>
        <v>990.27954075380217</v>
      </c>
      <c r="CM187" s="44">
        <f>AN187*AE179</f>
        <v>0</v>
      </c>
      <c r="CN187" s="44">
        <f>AN187*AF179</f>
        <v>0</v>
      </c>
      <c r="CO187" s="44">
        <f>AN187*AG179</f>
        <v>0</v>
      </c>
      <c r="CP187" s="44">
        <f>AN187*AH179</f>
        <v>0</v>
      </c>
      <c r="CQ187" s="44">
        <f>AN187*AI179</f>
        <v>1.4735910400486616E-2</v>
      </c>
    </row>
    <row r="188" spans="1:116" ht="15.75" hidden="1" x14ac:dyDescent="0.25">
      <c r="Q188" s="2"/>
      <c r="R188" s="3" t="s">
        <v>73</v>
      </c>
      <c r="S188" s="135"/>
      <c r="T188" s="97">
        <f>S189-T189</f>
        <v>-76992.494900000005</v>
      </c>
      <c r="U188" s="85">
        <f>U189-S189</f>
        <v>-573.15904000000046</v>
      </c>
      <c r="V188" s="85">
        <f>V189-T189</f>
        <v>-69967.276711999992</v>
      </c>
      <c r="W188" s="85">
        <f>W189-S189</f>
        <v>1126.9646400000001</v>
      </c>
      <c r="X188" s="85">
        <f>X189-T189</f>
        <v>2243.3306400000001</v>
      </c>
      <c r="Y188" s="85">
        <f>Y189-T189</f>
        <v>4486.6612800000003</v>
      </c>
      <c r="Z188" s="142">
        <f t="shared" ref="Z188:AE188" si="315">Z189-W189</f>
        <v>9501.2046600000067</v>
      </c>
      <c r="AA188" s="142">
        <f t="shared" si="315"/>
        <v>-81095.592732592559</v>
      </c>
      <c r="AB188" s="142">
        <f t="shared" si="315"/>
        <v>-70850.986879999997</v>
      </c>
      <c r="AC188" s="142">
        <f t="shared" si="315"/>
        <v>-13420.151300000009</v>
      </c>
      <c r="AD188" s="142">
        <f t="shared" si="315"/>
        <v>13834.284143644229</v>
      </c>
      <c r="AE188" s="142">
        <f t="shared" si="315"/>
        <v>-13420.151300000009</v>
      </c>
      <c r="AF188" s="85" t="e">
        <f>AF189-S189</f>
        <v>#VALUE!</v>
      </c>
      <c r="AG188" s="85">
        <f>AG189-T189</f>
        <v>152220</v>
      </c>
      <c r="AH188" s="85" t="e">
        <f>AH189-U189</f>
        <v>#REF!</v>
      </c>
      <c r="AI188" s="85" t="e">
        <f>AI189-V189</f>
        <v>#REF!</v>
      </c>
      <c r="AJ188" t="s">
        <v>51</v>
      </c>
      <c r="AL188" s="133">
        <v>205843</v>
      </c>
      <c r="AM188" s="134">
        <v>0.51370000000000005</v>
      </c>
      <c r="AN188" s="122">
        <v>0.3422</v>
      </c>
      <c r="AO188" s="122">
        <v>0.4425</v>
      </c>
      <c r="AP188" s="143"/>
      <c r="AQ188" s="143"/>
      <c r="AR188" s="143"/>
      <c r="AS188" s="143"/>
      <c r="AT188" s="144" t="s">
        <v>99</v>
      </c>
      <c r="AU188" s="144"/>
      <c r="AV188" s="144"/>
      <c r="AW188" s="144"/>
      <c r="AX188" s="144"/>
      <c r="AY188" s="144"/>
      <c r="AZ188" s="144"/>
      <c r="BA188" s="144"/>
      <c r="BB188" s="144"/>
      <c r="BC188" s="144"/>
      <c r="BD188" s="144"/>
      <c r="BE188" s="144"/>
      <c r="BF188" s="144"/>
      <c r="BG188" s="144"/>
      <c r="BH188" s="144"/>
      <c r="BI188" s="144"/>
      <c r="BJ188" s="144"/>
      <c r="BK188" s="144"/>
      <c r="BL188" s="144"/>
      <c r="BM188" s="144"/>
      <c r="BN188" s="144"/>
      <c r="BO188" s="144"/>
      <c r="BP188" s="144"/>
      <c r="BQ188" s="144"/>
      <c r="BR188" s="144"/>
      <c r="BS188" s="144"/>
      <c r="BT188" s="144"/>
      <c r="BU188" s="144"/>
      <c r="BV188" s="144"/>
      <c r="BW188" s="144"/>
      <c r="BX188" s="144"/>
      <c r="BY188" s="144"/>
      <c r="BZ188" s="144"/>
      <c r="CA188" s="44">
        <f>IF(S184&lt;AL177,CA177,IF(S184&lt;AL178,CA178,IF(S184&lt;AL179,CA179,IF(S184&lt;AL180,CA180,IF(S184&lt;AL181,CA181,IF(S184&lt;AL182,CA182,IF(S184&lt;AL183,CA183,CA184)))))))</f>
        <v>0</v>
      </c>
      <c r="CB188" s="44">
        <f>IF(T184&lt;AL177,CB177,IF(T184&lt;AL178,CB178,IF(T184&lt;AL179,CB179,IF(T184&lt;AL180,CB180,IF(T184&lt;AL181,CB181,IF(T184&lt;AL182,CB182,IF(T184&lt;AL183,CB183,CB184)))))))</f>
        <v>0</v>
      </c>
      <c r="CC188" s="44">
        <f>IF(U184&lt;AL177,CC177,IF(U184&lt;AL178,CC178,IF(U184&lt;AL179,CC179,IF(U184&lt;AL180,CC180,IF(U184&lt;AL181,CC181,IF(U184&lt;AL182,CC182,IF(U184&lt;AL183,CC183,CC184)))))))</f>
        <v>838.02527999999995</v>
      </c>
      <c r="CD188" s="44">
        <f>IF(V184&lt;AL177,CD177,IF(V184&lt;AL178,CD178,IF(V184&lt;AL179,CD179,IF(V184&lt;AL180,CD180,IF(V184&lt;AL181,CD181,IF(V184&lt;AL182,CD182,IF(V184&lt;AL183,CD183,CD184)))))))</f>
        <v>0</v>
      </c>
      <c r="CE188" s="44">
        <f>IF(W184&lt;AL177,CE177,IF(W184&lt;AL178,CE178,IF(W184&lt;AL179,CE179,IF(W184&lt;AL180,CE180,IF(W184&lt;AL181,CE181,IF(W184&lt;AL182,CE182,IF(W184&lt;AL183,CE183,CE184)))))))</f>
        <v>419.01263999999998</v>
      </c>
      <c r="CF188" s="44">
        <f>IF(X184&lt;AL177,CF177,IF(X184&lt;AL178,CF178,IF(X184&lt;AL179,CF179,IF(X184&lt;AL180,CF180,IF(X184&lt;AL181,CF181,IF(X184&lt;AL182,CF182,IF(X184&lt;AL183,CF183,CF184)))))))</f>
        <v>1183.05384</v>
      </c>
      <c r="CG188" s="44">
        <f>IF(Y184&lt;AL177,CG177,IF(Y184&lt;AL178,CG178,IF(Y184&lt;AL179,CG179,IF(Y184&lt;AL180,CG180,IF(Y184&lt;AL181,CG181,IF(Y184&lt;AL182,CG182,IF(Y184&lt;AL183,CG183,CG184)))))))</f>
        <v>2366.1076800000001</v>
      </c>
      <c r="CH188" s="44">
        <f>IF(Z184&lt;AL177,CH177,IF(Z184&lt;AL178,CH178,IF(Z184&lt;AL179,CH179,IF(Z184&lt;AL180,CH180,IF(Z184&lt;AL181,CH181,IF(Z184&lt;AL182,CH182,IF(Z184&lt;AL183,CH183,CH184)))))))</f>
        <v>0</v>
      </c>
      <c r="CI188" s="44">
        <f>IF(AA184&lt;AL177,CI177,IF(AA184&lt;AL178,CI178,IF(AA184&lt;AL179,CI179,IF(AA184&lt;AL180,CI180,IF(AA184&lt;AL181,CI181,IF(AA184&lt;AL182,CI182,IF(AA184&lt;AL183,CI183,CI184)))))))</f>
        <v>1209.291673748281</v>
      </c>
      <c r="CJ188" s="44">
        <f>IF(AB184&lt;AL177,CJ177,IF(AB184&lt;AL178,CJ178,IF(AB184&lt;AL179,CJ179,IF(AB184&lt;AL180,CJ180,IF(AB184&lt;AL181,CJ181,IF(AB184&lt;AL182,CJ182,IF(AB184&lt;AL183,CJ183,CJ184)))))))</f>
        <v>0</v>
      </c>
      <c r="CK188" s="44">
        <f>IF(AC184&lt;AL177,CK177,IF(AC184&lt;AL178,CK178,IF(AC184&lt;AL179,CK179,IF(AC184&lt;AL180,CK180,IF(AC184&lt;AL181,CK181,IF(AC184&lt;AL182,CK182,IF(AC184&lt;AL183,CK183,CK184)))))))</f>
        <v>0</v>
      </c>
      <c r="CL188" s="44">
        <f>IF(AD184&lt;AL177,CL177,IF(AD184&lt;AL178,CL178,IF(AD184&lt;AL179,CL179,IF(AD184&lt;AL180,CL180,IF(AD184&lt;AL181,CL181,IF(AD184&lt;AL182,CL182,IF(AD184&lt;AL183,CL183,CL184)))))))</f>
        <v>710.73248161640504</v>
      </c>
      <c r="CM188" s="44">
        <f>IF(AE184&lt;AL177,CM177,IF(AE184&lt;AL178,CM178,IF(AE184&lt;AL179,CM179,IF(AE184&lt;AL180,CM180,IF(AE184&lt;AL181,CM181,IF(AE184&lt;AL182,CM182,IF(AE184&lt;AL183,CM183,CM184)))))))</f>
        <v>0</v>
      </c>
      <c r="CN188" s="44" t="e">
        <f>IF(AF184&lt;AL177,CN177,IF(AF184&lt;AL178,CN178,IF(AF184&lt;AL179,CN179,IF(AF184&lt;AL180,CN180,IF(AF184&lt;AL181,CN181,IF(AF184&lt;AL182,CN182,IF(AF184&lt;AL183,CN183,CN184)))))))</f>
        <v>#VALUE!</v>
      </c>
      <c r="CO188" s="44">
        <f>IF(AG184&lt;AL177,CO177,IF(AG184&lt;AL178,CO178,IF(AG184&lt;AL179,CO179,IF(AG184&lt;AL180,CO180,IF(AG184&lt;AL181,CO181,IF(AG184&lt;AL182,CO182,IF(AG184&lt;AL183,CO183,CO184)))))))</f>
        <v>0</v>
      </c>
      <c r="CP188" s="44" t="e">
        <f>IF(AH184&lt;AL177,CP177,IF(AH184&lt;AL178,CP178,IF(AH184&lt;AL179,CP179,IF(AH184&lt;AL180,CP180,IF(AH184&lt;AL181,CP181,IF(AH184&lt;AL182,CP182,IF(AH184&lt;AL183,CP183,CP184)))))))</f>
        <v>#REF!</v>
      </c>
      <c r="CQ188" s="44" t="e">
        <f>IF(AI184&lt;AL177,CQ177,IF(AI184&lt;AL178,CQ178,IF(AI184&lt;AL179,CQ179,IF(AI184&lt;AL180,CQ180,IF(AI184&lt;AL181,CQ181,IF(AI184&lt;AL182,CQ182,IF(AI184&lt;AL183,CQ183,CQ184)))))))</f>
        <v>#REF!</v>
      </c>
    </row>
    <row r="189" spans="1:116" hidden="1" x14ac:dyDescent="0.25">
      <c r="Q189" s="2"/>
      <c r="R189" s="3" t="s">
        <v>53</v>
      </c>
      <c r="S189" s="72">
        <f t="shared" ref="S189:AI189" si="316">IF(S185+S186+S187-CV177-CV178&lt;0,0,S185+S186+S187-CV177-CV178)</f>
        <v>10487.404</v>
      </c>
      <c r="T189" s="72">
        <f t="shared" si="316"/>
        <v>87479.8989</v>
      </c>
      <c r="U189" s="72">
        <f t="shared" si="316"/>
        <v>9914.24496</v>
      </c>
      <c r="V189" s="72">
        <f t="shared" si="316"/>
        <v>17512.622188000001</v>
      </c>
      <c r="W189" s="72">
        <f t="shared" si="316"/>
        <v>11614.368640000001</v>
      </c>
      <c r="X189" s="72">
        <f t="shared" si="316"/>
        <v>89723.22954</v>
      </c>
      <c r="Y189" s="72">
        <f t="shared" si="316"/>
        <v>91966.56018</v>
      </c>
      <c r="Z189" s="72">
        <f t="shared" si="316"/>
        <v>21115.573300000007</v>
      </c>
      <c r="AA189" s="72">
        <f t="shared" si="316"/>
        <v>8627.6368074074417</v>
      </c>
      <c r="AB189" s="72">
        <f t="shared" si="316"/>
        <v>21115.573300000007</v>
      </c>
      <c r="AC189" s="72">
        <f t="shared" si="316"/>
        <v>7695.4219999999987</v>
      </c>
      <c r="AD189" s="72">
        <f t="shared" si="316"/>
        <v>22461.92095105167</v>
      </c>
      <c r="AE189" s="72">
        <f t="shared" si="316"/>
        <v>7695.4219999999987</v>
      </c>
      <c r="AF189" s="72" t="e">
        <f t="shared" si="316"/>
        <v>#VALUE!</v>
      </c>
      <c r="AG189" s="72">
        <f t="shared" si="316"/>
        <v>239699.8989</v>
      </c>
      <c r="AH189" s="72" t="e">
        <f t="shared" si="316"/>
        <v>#REF!</v>
      </c>
      <c r="AI189" s="72" t="e">
        <f t="shared" si="316"/>
        <v>#REF!</v>
      </c>
      <c r="AL189" s="133">
        <v>205843</v>
      </c>
      <c r="AM189" s="134">
        <v>0.51370000000000005</v>
      </c>
      <c r="AN189" s="122">
        <v>0.3422</v>
      </c>
      <c r="AO189" s="122">
        <v>0.4425</v>
      </c>
    </row>
    <row r="190" spans="1:116" hidden="1" x14ac:dyDescent="0.25">
      <c r="B190" t="s">
        <v>100</v>
      </c>
      <c r="W190" t="s">
        <v>14</v>
      </c>
      <c r="AU190" t="s">
        <v>15</v>
      </c>
    </row>
    <row r="191" spans="1:116" ht="60" hidden="1" x14ac:dyDescent="0.25">
      <c r="A191" s="153" t="s">
        <v>101</v>
      </c>
      <c r="B191" s="130" t="e">
        <f>#REF!</f>
        <v>#REF!</v>
      </c>
      <c r="C191" s="154" t="s">
        <v>102</v>
      </c>
      <c r="D191" s="155"/>
      <c r="E191" s="155"/>
      <c r="F191" s="155"/>
      <c r="G191" s="155"/>
      <c r="H191" s="155"/>
      <c r="I191" s="155"/>
      <c r="J191" s="156"/>
      <c r="K191" s="157"/>
      <c r="L191" s="157"/>
      <c r="M191" s="157"/>
      <c r="N191" s="157"/>
      <c r="O191" s="157"/>
      <c r="P191" s="157"/>
      <c r="V191" s="153" t="s">
        <v>101</v>
      </c>
      <c r="W191" s="130" t="e">
        <f>#REF!-2500</f>
        <v>#REF!</v>
      </c>
      <c r="X191" s="154" t="s">
        <v>102</v>
      </c>
      <c r="Y191" s="155"/>
      <c r="Z191" s="155"/>
      <c r="AA191" s="155"/>
      <c r="AB191" s="155"/>
      <c r="AC191" s="155"/>
      <c r="AD191" s="155"/>
      <c r="AE191" s="155"/>
      <c r="AF191" s="155"/>
      <c r="AG191" s="155"/>
      <c r="AH191" s="155"/>
      <c r="AI191" s="155"/>
      <c r="AJ191" s="155"/>
      <c r="AK191" s="155"/>
      <c r="AL191" s="155"/>
      <c r="AM191" s="156"/>
      <c r="AU191" s="130" t="e">
        <f>#REF!-2500</f>
        <v>#REF!</v>
      </c>
      <c r="AV191" s="154" t="s">
        <v>102</v>
      </c>
      <c r="AW191" s="155"/>
      <c r="AX191" s="155"/>
      <c r="AY191" s="155"/>
      <c r="AZ191" s="156"/>
      <c r="BA191" s="157"/>
      <c r="BB191" s="157"/>
      <c r="BC191" s="157"/>
      <c r="BD191" s="157"/>
      <c r="BE191" s="157"/>
      <c r="BF191" s="157"/>
      <c r="BG191" s="157"/>
      <c r="BH191" s="157"/>
      <c r="BI191" s="157"/>
    </row>
    <row r="192" spans="1:116" ht="45" hidden="1" x14ac:dyDescent="0.25">
      <c r="C192" s="158"/>
      <c r="D192" s="154" t="s">
        <v>103</v>
      </c>
      <c r="E192" s="155"/>
      <c r="F192" s="155"/>
      <c r="G192" s="155"/>
      <c r="H192" s="156"/>
      <c r="I192" s="159"/>
      <c r="J192" s="160" t="s">
        <v>104</v>
      </c>
      <c r="K192" s="157"/>
      <c r="L192" s="157"/>
      <c r="M192" s="157"/>
      <c r="N192" s="157"/>
      <c r="O192" s="157"/>
      <c r="P192" s="157"/>
      <c r="X192" s="158"/>
      <c r="Y192" s="161"/>
      <c r="Z192" s="161"/>
      <c r="AA192" s="161"/>
      <c r="AB192" s="161"/>
      <c r="AC192" s="161"/>
      <c r="AD192" s="161"/>
      <c r="AE192" s="161"/>
      <c r="AF192" s="161"/>
      <c r="AG192" s="161"/>
      <c r="AH192" s="161"/>
      <c r="AI192" s="161"/>
      <c r="AJ192" s="154" t="s">
        <v>103</v>
      </c>
      <c r="AK192" s="155"/>
      <c r="AL192" s="156"/>
      <c r="AM192" s="160" t="s">
        <v>104</v>
      </c>
      <c r="AV192" s="158"/>
      <c r="AW192" s="154" t="s">
        <v>103</v>
      </c>
      <c r="AX192" s="155"/>
      <c r="AY192" s="156"/>
      <c r="AZ192" s="160" t="s">
        <v>104</v>
      </c>
      <c r="BA192" s="157"/>
      <c r="BB192" s="157"/>
      <c r="BC192" s="157"/>
      <c r="BD192" s="157"/>
      <c r="BE192" s="157"/>
      <c r="BF192" s="157"/>
      <c r="BG192" s="157"/>
      <c r="BH192" s="157"/>
      <c r="BI192" s="157"/>
    </row>
    <row r="193" spans="1:78" ht="30" hidden="1" x14ac:dyDescent="0.25">
      <c r="C193" s="162"/>
      <c r="D193" s="160" t="s">
        <v>105</v>
      </c>
      <c r="E193" s="160"/>
      <c r="F193" s="160" t="s">
        <v>106</v>
      </c>
      <c r="G193" s="160"/>
      <c r="H193" s="160" t="s">
        <v>107</v>
      </c>
      <c r="I193" s="163"/>
      <c r="J193" s="163" t="s">
        <v>108</v>
      </c>
      <c r="K193" s="157"/>
      <c r="L193" s="157"/>
      <c r="M193" s="157"/>
      <c r="N193" s="157"/>
      <c r="O193" s="157"/>
      <c r="P193" s="157"/>
      <c r="X193" s="162"/>
      <c r="Y193" s="162"/>
      <c r="Z193" s="162"/>
      <c r="AA193" s="162"/>
      <c r="AB193" s="162"/>
      <c r="AC193" s="162"/>
      <c r="AD193" s="162"/>
      <c r="AE193" s="162"/>
      <c r="AF193" s="162"/>
      <c r="AG193" s="162"/>
      <c r="AH193" s="162"/>
      <c r="AI193" s="162"/>
      <c r="AJ193" s="160" t="s">
        <v>105</v>
      </c>
      <c r="AK193" s="160" t="s">
        <v>106</v>
      </c>
      <c r="AL193" s="160" t="s">
        <v>107</v>
      </c>
      <c r="AM193" s="163" t="s">
        <v>108</v>
      </c>
      <c r="AV193" s="162"/>
      <c r="AW193" s="160" t="s">
        <v>105</v>
      </c>
      <c r="AX193" s="160" t="s">
        <v>106</v>
      </c>
      <c r="AY193" s="160" t="s">
        <v>107</v>
      </c>
      <c r="AZ193" s="163" t="s">
        <v>108</v>
      </c>
      <c r="BA193" s="157"/>
      <c r="BB193" s="157"/>
      <c r="BC193" s="157"/>
      <c r="BD193" s="157"/>
      <c r="BE193" s="157"/>
      <c r="BF193" s="157"/>
      <c r="BG193" s="157"/>
      <c r="BH193" s="157"/>
      <c r="BI193" s="157"/>
    </row>
    <row r="194" spans="1:78" ht="43.5" hidden="1" x14ac:dyDescent="0.25">
      <c r="A194" s="100" t="s">
        <v>109</v>
      </c>
      <c r="B194" s="100"/>
      <c r="C194" s="164"/>
      <c r="D194" s="165"/>
      <c r="E194" s="165"/>
      <c r="F194" s="165" t="s">
        <v>110</v>
      </c>
      <c r="G194" s="165"/>
      <c r="H194" s="165" t="s">
        <v>111</v>
      </c>
      <c r="I194" s="165"/>
      <c r="J194" s="165"/>
      <c r="K194" s="157"/>
      <c r="L194" s="157"/>
      <c r="M194" s="157"/>
      <c r="N194" s="157"/>
      <c r="O194" s="157"/>
      <c r="P194" s="157"/>
      <c r="Q194" s="167" t="s">
        <v>113</v>
      </c>
      <c r="R194" s="167"/>
      <c r="S194" s="167"/>
      <c r="T194" s="167" t="s">
        <v>114</v>
      </c>
      <c r="U194" s="64" t="s">
        <v>115</v>
      </c>
      <c r="V194" s="100" t="s">
        <v>109</v>
      </c>
      <c r="W194" s="100"/>
      <c r="X194" s="164"/>
      <c r="Y194" s="164"/>
      <c r="Z194" s="164"/>
      <c r="AA194" s="164"/>
      <c r="AB194" s="164"/>
      <c r="AC194" s="164"/>
      <c r="AD194" s="164"/>
      <c r="AE194" s="164"/>
      <c r="AF194" s="164"/>
      <c r="AG194" s="164"/>
      <c r="AH194" s="164"/>
      <c r="AI194" s="164"/>
      <c r="AJ194" s="165"/>
      <c r="AK194" s="165" t="s">
        <v>110</v>
      </c>
      <c r="AL194" s="165" t="s">
        <v>111</v>
      </c>
      <c r="AM194" s="165"/>
      <c r="AN194" s="166" t="s">
        <v>112</v>
      </c>
      <c r="AO194" s="167" t="s">
        <v>113</v>
      </c>
      <c r="AP194" s="167"/>
      <c r="AQ194" s="167"/>
      <c r="AR194" s="167" t="s">
        <v>114</v>
      </c>
      <c r="AS194" s="64" t="s">
        <v>115</v>
      </c>
      <c r="AT194" s="100" t="s">
        <v>109</v>
      </c>
      <c r="AU194" s="100"/>
      <c r="AV194" s="164"/>
      <c r="AW194" s="165"/>
      <c r="AX194" s="165" t="s">
        <v>110</v>
      </c>
      <c r="AY194" s="165" t="s">
        <v>111</v>
      </c>
      <c r="AZ194" s="165"/>
      <c r="BA194" s="157"/>
      <c r="BB194" s="157"/>
      <c r="BC194" s="157"/>
      <c r="BD194" s="157"/>
      <c r="BE194" s="157"/>
      <c r="BF194" s="157"/>
      <c r="BG194" s="157"/>
      <c r="BH194" s="157"/>
      <c r="BI194" s="157"/>
      <c r="BJ194" s="166" t="s">
        <v>112</v>
      </c>
      <c r="BK194" s="167" t="s">
        <v>113</v>
      </c>
      <c r="BL194" s="167"/>
      <c r="BM194" s="167"/>
      <c r="BN194" s="167" t="s">
        <v>114</v>
      </c>
      <c r="BO194" s="64" t="s">
        <v>115</v>
      </c>
      <c r="BP194" s="64"/>
      <c r="BQ194" s="64"/>
      <c r="BR194" s="64"/>
      <c r="BS194" s="64"/>
      <c r="BT194" s="64"/>
      <c r="BU194" s="64"/>
      <c r="BV194" s="64"/>
      <c r="BW194" s="64"/>
      <c r="BX194" s="64"/>
      <c r="BY194" s="64"/>
      <c r="BZ194" s="64"/>
    </row>
    <row r="195" spans="1:78" hidden="1" x14ac:dyDescent="0.25">
      <c r="A195" t="e">
        <f>IF(C6="AB",T195,IF(C6="BC",T196,IF(C6="MB",T197,IF(C6="NB",T198,IF(C6="NF",T199,IF(C6="NS",T200,IF(C6="ON",T201,IF(C6="PE",T202,IF(C6="PQ",T203,T204)))))))))</f>
        <v>#REF!</v>
      </c>
      <c r="C195" s="168" t="s">
        <v>116</v>
      </c>
      <c r="D195" s="169">
        <v>0.27</v>
      </c>
      <c r="E195" s="169"/>
      <c r="F195" s="170">
        <v>0.12</v>
      </c>
      <c r="G195" s="170"/>
      <c r="H195" s="171">
        <v>500000</v>
      </c>
      <c r="I195" s="171"/>
      <c r="J195" s="172">
        <v>0.50670000000000004</v>
      </c>
      <c r="K195" s="173"/>
      <c r="L195" s="173"/>
      <c r="M195" s="173"/>
      <c r="N195" s="173"/>
      <c r="O195" s="173"/>
      <c r="P195" s="173"/>
      <c r="Q195" t="e">
        <f>B191*D195</f>
        <v>#REF!</v>
      </c>
      <c r="T195" t="e">
        <f>#REF!</f>
        <v>#REF!</v>
      </c>
      <c r="U195" t="e">
        <f>500000*F195+(B191-500000)*D195</f>
        <v>#REF!</v>
      </c>
      <c r="V195" t="e">
        <f>IF(C6="AB",AR195,IF(C6="BC",AR196,IF(C6="MB",AR197,IF(C6="NB",AR198,IF(C6="NF",AR199,IF(C6="NS",AR200,IF(C6="ON",AR201,IF(C6="PE",AR202,IF(C6="PQ",AR203,AR204)))))))))</f>
        <v>#REF!</v>
      </c>
      <c r="X195" s="168" t="s">
        <v>116</v>
      </c>
      <c r="Y195" s="168"/>
      <c r="Z195" s="168"/>
      <c r="AA195" s="168"/>
      <c r="AB195" s="168"/>
      <c r="AC195" s="168"/>
      <c r="AD195" s="168"/>
      <c r="AE195" s="168"/>
      <c r="AF195" s="168"/>
      <c r="AG195" s="168"/>
      <c r="AH195" s="168"/>
      <c r="AI195" s="168"/>
      <c r="AJ195" s="169">
        <v>0.27</v>
      </c>
      <c r="AK195" s="170">
        <v>0.12</v>
      </c>
      <c r="AL195" s="171">
        <v>500000</v>
      </c>
      <c r="AM195" s="172">
        <v>0.50670000000000004</v>
      </c>
      <c r="AN195" s="174" t="e">
        <f>W191*AK195</f>
        <v>#REF!</v>
      </c>
      <c r="AO195" t="e">
        <f>W191*AJ195</f>
        <v>#REF!</v>
      </c>
      <c r="AR195" t="e">
        <f>AN195</f>
        <v>#REF!</v>
      </c>
      <c r="AS195" t="e">
        <f>500000*AK195+(W191-500000)*AJ195</f>
        <v>#REF!</v>
      </c>
      <c r="AT195" t="e">
        <f>IF(C6="AB",BN195,IF(C6="BC",BN196,IF(C6="MB",BN197,IF(C6="NB",BN198,IF(C6="NF",BN199,IF(C6="NS",BN200,IF(C6="ON",BN201,IF(C6="PE",BN202,IF(C6="PQ",BN203,BN204)))))))))</f>
        <v>#REF!</v>
      </c>
      <c r="AV195" s="168" t="s">
        <v>116</v>
      </c>
      <c r="AW195" s="169">
        <v>0.27</v>
      </c>
      <c r="AX195" s="170">
        <v>0.12</v>
      </c>
      <c r="AY195" s="171">
        <v>500000</v>
      </c>
      <c r="AZ195" s="172">
        <v>0.50670000000000004</v>
      </c>
      <c r="BA195" s="173"/>
      <c r="BB195" s="173"/>
      <c r="BC195" s="173"/>
      <c r="BD195" s="173"/>
      <c r="BE195" s="173"/>
      <c r="BF195" s="173"/>
      <c r="BG195" s="173"/>
      <c r="BH195" s="173"/>
      <c r="BI195" s="173"/>
      <c r="BJ195" s="174" t="e">
        <f>AU191*AX195</f>
        <v>#REF!</v>
      </c>
      <c r="BK195" t="e">
        <f>AU191*AW195</f>
        <v>#REF!</v>
      </c>
      <c r="BN195" t="e">
        <f>BJ195</f>
        <v>#REF!</v>
      </c>
      <c r="BO195" t="e">
        <f>500000*AX195+(AU191-500000)*AW195</f>
        <v>#REF!</v>
      </c>
    </row>
    <row r="196" spans="1:78" hidden="1" x14ac:dyDescent="0.25">
      <c r="A196" t="s">
        <v>117</v>
      </c>
      <c r="C196" s="168" t="s">
        <v>74</v>
      </c>
      <c r="D196" s="169">
        <v>0.27</v>
      </c>
      <c r="E196" s="169"/>
      <c r="F196" s="170">
        <v>0.12</v>
      </c>
      <c r="G196" s="170"/>
      <c r="H196" s="171">
        <v>500000</v>
      </c>
      <c r="I196" s="171"/>
      <c r="J196" s="172">
        <v>0.49669999999999997</v>
      </c>
      <c r="K196" s="173"/>
      <c r="L196" s="173"/>
      <c r="M196" s="173"/>
      <c r="N196" s="173"/>
      <c r="O196" s="173"/>
      <c r="P196" s="173"/>
      <c r="Q196" t="e">
        <f>B191*D196</f>
        <v>#REF!</v>
      </c>
      <c r="T196" t="e">
        <f>#REF!</f>
        <v>#REF!</v>
      </c>
      <c r="U196" s="130" t="e">
        <f>500000*F196+(B191-500000)*D196</f>
        <v>#REF!</v>
      </c>
      <c r="V196" t="s">
        <v>117</v>
      </c>
      <c r="X196" s="168" t="s">
        <v>74</v>
      </c>
      <c r="Y196" s="168"/>
      <c r="Z196" s="168"/>
      <c r="AA196" s="168"/>
      <c r="AB196" s="168"/>
      <c r="AC196" s="168"/>
      <c r="AD196" s="168"/>
      <c r="AE196" s="168"/>
      <c r="AF196" s="168"/>
      <c r="AG196" s="168"/>
      <c r="AH196" s="168"/>
      <c r="AI196" s="168"/>
      <c r="AJ196" s="169">
        <v>0.27</v>
      </c>
      <c r="AK196" s="170">
        <v>0.12</v>
      </c>
      <c r="AL196" s="171">
        <v>500000</v>
      </c>
      <c r="AM196" s="172">
        <v>0.49669999999999997</v>
      </c>
      <c r="AN196" t="e">
        <f>W191*AK196</f>
        <v>#REF!</v>
      </c>
      <c r="AO196" t="e">
        <f>W191*AJ196</f>
        <v>#REF!</v>
      </c>
      <c r="AR196" t="e">
        <f>AN196</f>
        <v>#REF!</v>
      </c>
      <c r="AS196" t="e">
        <f>500000*AK196+(W191-500000)*AJ196</f>
        <v>#REF!</v>
      </c>
      <c r="AT196" t="s">
        <v>117</v>
      </c>
      <c r="AV196" s="168" t="s">
        <v>74</v>
      </c>
      <c r="AW196" s="169">
        <v>0.27</v>
      </c>
      <c r="AX196" s="170">
        <v>0.12</v>
      </c>
      <c r="AY196" s="171">
        <v>500000</v>
      </c>
      <c r="AZ196" s="172">
        <v>0.49669999999999997</v>
      </c>
      <c r="BA196" s="173"/>
      <c r="BB196" s="173"/>
      <c r="BC196" s="173"/>
      <c r="BD196" s="173"/>
      <c r="BE196" s="173"/>
      <c r="BF196" s="173"/>
      <c r="BG196" s="173"/>
      <c r="BH196" s="173"/>
      <c r="BI196" s="173"/>
      <c r="BJ196" t="e">
        <f>AU191*AX196</f>
        <v>#REF!</v>
      </c>
      <c r="BK196" t="e">
        <f>AU191*AW196</f>
        <v>#REF!</v>
      </c>
      <c r="BN196" t="e">
        <f>BJ196</f>
        <v>#REF!</v>
      </c>
      <c r="BO196" t="e">
        <f>500000*AX196+(AU191-500000)*AW196</f>
        <v>#REF!</v>
      </c>
    </row>
    <row r="197" spans="1:78" hidden="1" x14ac:dyDescent="0.25">
      <c r="A197" t="e">
        <f>IF(C6="AB",U195,IF(C6="BC",U196,IF(C6="MB",U197,IF(C6="NB",U198,IF(C6="NF",U199,IF(C6="NS",U200,IF(C6="ON",U201,IF(C6="PE",U202,IF(C6="PQ",U203,U204)))))))))</f>
        <v>#REF!</v>
      </c>
      <c r="C197" s="168" t="s">
        <v>78</v>
      </c>
      <c r="D197" s="169">
        <v>0.27</v>
      </c>
      <c r="E197" s="169"/>
      <c r="F197" s="170">
        <v>0.1</v>
      </c>
      <c r="G197" s="170"/>
      <c r="H197" s="171">
        <v>500000</v>
      </c>
      <c r="I197" s="171"/>
      <c r="J197" s="172">
        <v>0.50670000000000004</v>
      </c>
      <c r="K197" s="173"/>
      <c r="L197" s="173"/>
      <c r="M197" s="173"/>
      <c r="N197" s="173"/>
      <c r="O197" s="173"/>
      <c r="P197" s="173"/>
      <c r="Q197" s="130" t="e">
        <f>B191*D197</f>
        <v>#REF!</v>
      </c>
      <c r="T197" t="e">
        <f>#REF!</f>
        <v>#REF!</v>
      </c>
      <c r="U197" t="e">
        <f>500000*F197+(B191-500000)*D197</f>
        <v>#REF!</v>
      </c>
      <c r="V197" t="e">
        <f>IF(C6="AB",AS195,IF(C6="BC",AS196,IF(C6="MB",AS197,IF(C6="NB",AS198,IF(C6="NF",AS199,IF(C6="NS",AS200,IF(C6="ON",AS201,IF(C6="PE",AS202,IF(C6="PQ",AS203,AS204)))))))))</f>
        <v>#REF!</v>
      </c>
      <c r="X197" s="168" t="s">
        <v>78</v>
      </c>
      <c r="Y197" s="168"/>
      <c r="Z197" s="168"/>
      <c r="AA197" s="168"/>
      <c r="AB197" s="168"/>
      <c r="AC197" s="168"/>
      <c r="AD197" s="168"/>
      <c r="AE197" s="168"/>
      <c r="AF197" s="168"/>
      <c r="AG197" s="168"/>
      <c r="AH197" s="168"/>
      <c r="AI197" s="168"/>
      <c r="AJ197" s="169">
        <v>0.27</v>
      </c>
      <c r="AK197" s="170">
        <v>0.1</v>
      </c>
      <c r="AL197" s="171">
        <v>500000</v>
      </c>
      <c r="AM197" s="172">
        <v>0.50670000000000004</v>
      </c>
      <c r="AN197" t="e">
        <f>W191*AK197</f>
        <v>#REF!</v>
      </c>
      <c r="AO197" t="e">
        <f>W191*AJ197</f>
        <v>#REF!</v>
      </c>
      <c r="AR197" t="e">
        <f t="shared" ref="AR197:AR204" si="317">AN197</f>
        <v>#REF!</v>
      </c>
      <c r="AS197" t="e">
        <f>500000*AK197+(W191-500000)*AJ197</f>
        <v>#REF!</v>
      </c>
      <c r="AT197" t="e">
        <f>IF(C6="AB",BO195,IF(C6="BC",BO196,IF(C6="MB",BO197,IF(C6="NB",BO198,IF(C6="NF",BO199,IF(C6="NS",BO200,IF(C6="ON",BO201,IF(C6="PE",BO202,IF(C6="PQ",BO203,BO204)))))))))</f>
        <v>#REF!</v>
      </c>
      <c r="AV197" s="168" t="s">
        <v>78</v>
      </c>
      <c r="AW197" s="169">
        <v>0.27</v>
      </c>
      <c r="AX197" s="170">
        <v>0.1</v>
      </c>
      <c r="AY197" s="171">
        <v>500000</v>
      </c>
      <c r="AZ197" s="172">
        <v>0.50670000000000004</v>
      </c>
      <c r="BA197" s="173"/>
      <c r="BB197" s="173"/>
      <c r="BC197" s="173"/>
      <c r="BD197" s="173"/>
      <c r="BE197" s="173"/>
      <c r="BF197" s="173"/>
      <c r="BG197" s="173"/>
      <c r="BH197" s="173"/>
      <c r="BI197" s="173"/>
      <c r="BJ197" t="e">
        <f>AU191*AX197</f>
        <v>#REF!</v>
      </c>
      <c r="BK197" t="e">
        <f>AU191*AW197</f>
        <v>#REF!</v>
      </c>
      <c r="BN197" t="e">
        <f t="shared" ref="BN197:BN204" si="318">BJ197</f>
        <v>#REF!</v>
      </c>
      <c r="BO197" t="e">
        <f>500000*AX197+(AU191-500000)*AW197</f>
        <v>#REF!</v>
      </c>
    </row>
    <row r="198" spans="1:78" hidden="1" x14ac:dyDescent="0.25">
      <c r="C198" s="168" t="s">
        <v>87</v>
      </c>
      <c r="D198" s="169">
        <v>0.28999999999999998</v>
      </c>
      <c r="E198" s="169"/>
      <c r="F198" s="170">
        <v>0.13</v>
      </c>
      <c r="G198" s="170"/>
      <c r="H198" s="171">
        <v>500000</v>
      </c>
      <c r="I198" s="171"/>
      <c r="J198" s="172">
        <v>0.52669999999999995</v>
      </c>
      <c r="K198" s="173"/>
      <c r="L198" s="173"/>
      <c r="M198" s="173"/>
      <c r="N198" s="173"/>
      <c r="O198" s="173"/>
      <c r="P198" s="173"/>
      <c r="Q198" t="e">
        <f>B191*D198</f>
        <v>#REF!</v>
      </c>
      <c r="T198" t="e">
        <f>#REF!</f>
        <v>#REF!</v>
      </c>
      <c r="U198" t="e">
        <f>500000*F198+(B191-500000)*D198</f>
        <v>#REF!</v>
      </c>
      <c r="X198" s="168" t="s">
        <v>87</v>
      </c>
      <c r="Y198" s="168"/>
      <c r="Z198" s="168"/>
      <c r="AA198" s="168"/>
      <c r="AB198" s="168"/>
      <c r="AC198" s="168"/>
      <c r="AD198" s="168"/>
      <c r="AE198" s="168"/>
      <c r="AF198" s="168"/>
      <c r="AG198" s="168"/>
      <c r="AH198" s="168"/>
      <c r="AI198" s="168"/>
      <c r="AJ198" s="169">
        <v>0.28999999999999998</v>
      </c>
      <c r="AK198" s="170">
        <v>0.13</v>
      </c>
      <c r="AL198" s="171">
        <v>500000</v>
      </c>
      <c r="AM198" s="172">
        <v>0.52669999999999995</v>
      </c>
      <c r="AN198" t="e">
        <f>W191*AK198</f>
        <v>#REF!</v>
      </c>
      <c r="AO198" t="e">
        <f>W191*AJ198</f>
        <v>#REF!</v>
      </c>
      <c r="AR198" t="e">
        <f t="shared" si="317"/>
        <v>#REF!</v>
      </c>
      <c r="AS198" t="e">
        <f>500000*AK198+(W191-500000)*AJ198</f>
        <v>#REF!</v>
      </c>
      <c r="AV198" s="168" t="s">
        <v>87</v>
      </c>
      <c r="AW198" s="169">
        <v>0.28999999999999998</v>
      </c>
      <c r="AX198" s="170">
        <v>0.13</v>
      </c>
      <c r="AY198" s="171">
        <v>500000</v>
      </c>
      <c r="AZ198" s="172">
        <v>0.52669999999999995</v>
      </c>
      <c r="BA198" s="173"/>
      <c r="BB198" s="173"/>
      <c r="BC198" s="173"/>
      <c r="BD198" s="173"/>
      <c r="BE198" s="173"/>
      <c r="BF198" s="173"/>
      <c r="BG198" s="173"/>
      <c r="BH198" s="173"/>
      <c r="BI198" s="173"/>
      <c r="BJ198" t="e">
        <f>AU191*AX198</f>
        <v>#REF!</v>
      </c>
      <c r="BK198" t="e">
        <f>AU191*AW198</f>
        <v>#REF!</v>
      </c>
      <c r="BN198" t="e">
        <f t="shared" si="318"/>
        <v>#REF!</v>
      </c>
      <c r="BO198" t="e">
        <f>500000*AX198+(AU191-500000)*AW198</f>
        <v>#REF!</v>
      </c>
    </row>
    <row r="199" spans="1:78" hidden="1" x14ac:dyDescent="0.25">
      <c r="C199" s="168" t="s">
        <v>118</v>
      </c>
      <c r="D199" s="169">
        <v>0.3</v>
      </c>
      <c r="E199" s="169"/>
      <c r="F199" s="170">
        <v>0.13</v>
      </c>
      <c r="G199" s="170"/>
      <c r="H199" s="171">
        <v>500000</v>
      </c>
      <c r="I199" s="171"/>
      <c r="J199" s="172">
        <v>0.53669999999999995</v>
      </c>
      <c r="K199" s="173"/>
      <c r="L199" s="173"/>
      <c r="M199" s="173"/>
      <c r="N199" s="173"/>
      <c r="O199" s="173"/>
      <c r="P199" s="173"/>
      <c r="Q199" t="e">
        <f>B191*D199</f>
        <v>#REF!</v>
      </c>
      <c r="T199" t="e">
        <f>#REF!</f>
        <v>#REF!</v>
      </c>
      <c r="U199" t="e">
        <f>500000*F199+(B191-500000)*D199</f>
        <v>#REF!</v>
      </c>
      <c r="X199" s="168" t="s">
        <v>118</v>
      </c>
      <c r="Y199" s="168"/>
      <c r="Z199" s="168"/>
      <c r="AA199" s="168"/>
      <c r="AB199" s="168"/>
      <c r="AC199" s="168"/>
      <c r="AD199" s="168"/>
      <c r="AE199" s="168"/>
      <c r="AF199" s="168"/>
      <c r="AG199" s="168"/>
      <c r="AH199" s="168"/>
      <c r="AI199" s="168"/>
      <c r="AJ199" s="169">
        <v>0.3</v>
      </c>
      <c r="AK199" s="170">
        <v>0.13</v>
      </c>
      <c r="AL199" s="171">
        <v>500000</v>
      </c>
      <c r="AM199" s="172">
        <v>0.53669999999999995</v>
      </c>
      <c r="AN199" t="e">
        <f>W191*AK199</f>
        <v>#REF!</v>
      </c>
      <c r="AO199" t="e">
        <f>W191*AJ199</f>
        <v>#REF!</v>
      </c>
      <c r="AR199" t="e">
        <f t="shared" si="317"/>
        <v>#REF!</v>
      </c>
      <c r="AS199" t="e">
        <f>500000*AK199+(W191-500000)*AJ199</f>
        <v>#REF!</v>
      </c>
      <c r="AV199" s="168" t="s">
        <v>118</v>
      </c>
      <c r="AW199" s="169">
        <v>0.3</v>
      </c>
      <c r="AX199" s="170">
        <v>0.13</v>
      </c>
      <c r="AY199" s="171">
        <v>500000</v>
      </c>
      <c r="AZ199" s="172">
        <v>0.53669999999999995</v>
      </c>
      <c r="BA199" s="173"/>
      <c r="BB199" s="173"/>
      <c r="BC199" s="173"/>
      <c r="BD199" s="173"/>
      <c r="BE199" s="173"/>
      <c r="BF199" s="173"/>
      <c r="BG199" s="173"/>
      <c r="BH199" s="173"/>
      <c r="BI199" s="173"/>
      <c r="BJ199" t="e">
        <f>AU191*AX199</f>
        <v>#REF!</v>
      </c>
      <c r="BK199" t="e">
        <f>AU191*AW199</f>
        <v>#REF!</v>
      </c>
      <c r="BN199" t="e">
        <f t="shared" si="318"/>
        <v>#REF!</v>
      </c>
      <c r="BO199" t="e">
        <f>500000*AX199+(AU191-500000)*AW199</f>
        <v>#REF!</v>
      </c>
    </row>
    <row r="200" spans="1:78" hidden="1" x14ac:dyDescent="0.25">
      <c r="C200" s="168" t="s">
        <v>90</v>
      </c>
      <c r="D200" s="169">
        <v>0.31</v>
      </c>
      <c r="E200" s="169"/>
      <c r="F200" s="170">
        <v>0.13</v>
      </c>
      <c r="G200" s="170"/>
      <c r="H200" s="171">
        <v>500000</v>
      </c>
      <c r="I200" s="171"/>
      <c r="J200" s="172">
        <v>0.54669999999999996</v>
      </c>
      <c r="K200" s="173"/>
      <c r="L200" s="173"/>
      <c r="M200" s="173"/>
      <c r="N200" s="173"/>
      <c r="O200" s="173"/>
      <c r="P200" s="173"/>
      <c r="Q200" t="e">
        <f>B191*D200</f>
        <v>#REF!</v>
      </c>
      <c r="T200" t="e">
        <f>#REF!</f>
        <v>#REF!</v>
      </c>
      <c r="U200" t="e">
        <f>500000*F200+(B191-500000)*D200</f>
        <v>#REF!</v>
      </c>
      <c r="X200" s="168" t="s">
        <v>90</v>
      </c>
      <c r="Y200" s="168"/>
      <c r="Z200" s="168"/>
      <c r="AA200" s="168"/>
      <c r="AB200" s="168"/>
      <c r="AC200" s="168"/>
      <c r="AD200" s="168"/>
      <c r="AE200" s="168"/>
      <c r="AF200" s="168"/>
      <c r="AG200" s="168"/>
      <c r="AH200" s="168"/>
      <c r="AI200" s="168"/>
      <c r="AJ200" s="169">
        <v>0.31</v>
      </c>
      <c r="AK200" s="170">
        <v>0.13</v>
      </c>
      <c r="AL200" s="171">
        <v>500000</v>
      </c>
      <c r="AM200" s="172">
        <v>0.54669999999999996</v>
      </c>
      <c r="AN200" t="e">
        <f>W191*AK200</f>
        <v>#REF!</v>
      </c>
      <c r="AO200" t="e">
        <f>W191*AJ200</f>
        <v>#REF!</v>
      </c>
      <c r="AR200" t="e">
        <f t="shared" si="317"/>
        <v>#REF!</v>
      </c>
      <c r="AS200" t="e">
        <f>500000*AK200+(W191-500000)*AJ200</f>
        <v>#REF!</v>
      </c>
      <c r="AV200" s="168" t="s">
        <v>90</v>
      </c>
      <c r="AW200" s="169">
        <v>0.31</v>
      </c>
      <c r="AX200" s="170">
        <v>0.13</v>
      </c>
      <c r="AY200" s="171">
        <v>500000</v>
      </c>
      <c r="AZ200" s="172">
        <v>0.54669999999999996</v>
      </c>
      <c r="BA200" s="173"/>
      <c r="BB200" s="173"/>
      <c r="BC200" s="173"/>
      <c r="BD200" s="173"/>
      <c r="BE200" s="173"/>
      <c r="BF200" s="173"/>
      <c r="BG200" s="173"/>
      <c r="BH200" s="173"/>
      <c r="BI200" s="173"/>
      <c r="BJ200" t="e">
        <f>AU191*AX200</f>
        <v>#REF!</v>
      </c>
      <c r="BK200" t="e">
        <f>AU191*AW200</f>
        <v>#REF!</v>
      </c>
      <c r="BN200" t="e">
        <f t="shared" si="318"/>
        <v>#REF!</v>
      </c>
      <c r="BO200" t="e">
        <f>500000*AX200+(AU191-500000)*AW200</f>
        <v>#REF!</v>
      </c>
    </row>
    <row r="201" spans="1:78" hidden="1" x14ac:dyDescent="0.25">
      <c r="C201" s="168" t="s">
        <v>34</v>
      </c>
      <c r="D201" s="172">
        <v>0.26500000000000001</v>
      </c>
      <c r="E201" s="172"/>
      <c r="F201" s="170">
        <v>0.13500000000000001</v>
      </c>
      <c r="G201" s="170"/>
      <c r="H201" s="171">
        <v>500000</v>
      </c>
      <c r="I201" s="171"/>
      <c r="J201" s="172">
        <v>0.50170000000000003</v>
      </c>
      <c r="K201" s="173"/>
      <c r="L201" s="173"/>
      <c r="M201" s="173"/>
      <c r="N201" s="173"/>
      <c r="O201" s="173"/>
      <c r="P201" s="173"/>
      <c r="Q201" t="e">
        <f>B191*D201</f>
        <v>#REF!</v>
      </c>
      <c r="T201" t="e">
        <f>#REF!</f>
        <v>#REF!</v>
      </c>
      <c r="U201" t="e">
        <f>500000*F201+(B191-500000)*D201</f>
        <v>#REF!</v>
      </c>
      <c r="X201" s="168" t="s">
        <v>34</v>
      </c>
      <c r="Y201" s="168"/>
      <c r="Z201" s="168"/>
      <c r="AA201" s="168"/>
      <c r="AB201" s="168"/>
      <c r="AC201" s="168"/>
      <c r="AD201" s="168"/>
      <c r="AE201" s="168"/>
      <c r="AF201" s="168"/>
      <c r="AG201" s="168"/>
      <c r="AH201" s="168"/>
      <c r="AI201" s="168"/>
      <c r="AJ201" s="172">
        <v>0.26500000000000001</v>
      </c>
      <c r="AK201" s="170">
        <v>0.13500000000000001</v>
      </c>
      <c r="AL201" s="171">
        <v>500000</v>
      </c>
      <c r="AM201" s="172">
        <v>0.50170000000000003</v>
      </c>
      <c r="AN201" t="e">
        <f>W191*AK201</f>
        <v>#REF!</v>
      </c>
      <c r="AO201" t="e">
        <f>W191*AJ201</f>
        <v>#REF!</v>
      </c>
      <c r="AR201" t="e">
        <f t="shared" si="317"/>
        <v>#REF!</v>
      </c>
      <c r="AS201" t="e">
        <f>500000*AK201+(W191-500000)*AJ201</f>
        <v>#REF!</v>
      </c>
      <c r="AV201" s="168" t="s">
        <v>34</v>
      </c>
      <c r="AW201" s="172">
        <v>0.26500000000000001</v>
      </c>
      <c r="AX201" s="170">
        <v>0.13500000000000001</v>
      </c>
      <c r="AY201" s="171">
        <v>500000</v>
      </c>
      <c r="AZ201" s="172">
        <v>0.50170000000000003</v>
      </c>
      <c r="BA201" s="173"/>
      <c r="BB201" s="173"/>
      <c r="BC201" s="173"/>
      <c r="BD201" s="173"/>
      <c r="BE201" s="173"/>
      <c r="BF201" s="173"/>
      <c r="BG201" s="173"/>
      <c r="BH201" s="173"/>
      <c r="BI201" s="173"/>
      <c r="BJ201" t="e">
        <f>AU191*AX201</f>
        <v>#REF!</v>
      </c>
      <c r="BK201" t="e">
        <f>AU191*AW201</f>
        <v>#REF!</v>
      </c>
      <c r="BN201" t="e">
        <f t="shared" si="318"/>
        <v>#REF!</v>
      </c>
      <c r="BO201" t="e">
        <f>500000*AX201+(AU191-500000)*AW201</f>
        <v>#REF!</v>
      </c>
    </row>
    <row r="202" spans="1:78" hidden="1" x14ac:dyDescent="0.25">
      <c r="C202" s="168" t="s">
        <v>119</v>
      </c>
      <c r="D202" s="169">
        <v>0.31</v>
      </c>
      <c r="E202" s="169"/>
      <c r="F202" s="170">
        <v>0.14499999999999999</v>
      </c>
      <c r="G202" s="170"/>
      <c r="H202" s="171">
        <v>500000</v>
      </c>
      <c r="I202" s="171"/>
      <c r="J202" s="172">
        <v>0.54669999999999996</v>
      </c>
      <c r="K202" s="173"/>
      <c r="L202" s="173"/>
      <c r="M202" s="173"/>
      <c r="N202" s="173"/>
      <c r="O202" s="173"/>
      <c r="P202" s="173"/>
      <c r="Q202" t="e">
        <f>B191*D202</f>
        <v>#REF!</v>
      </c>
      <c r="T202" t="e">
        <f>#REF!</f>
        <v>#REF!</v>
      </c>
      <c r="U202" t="e">
        <f>500000*F202+(B191-500000)*D202</f>
        <v>#REF!</v>
      </c>
      <c r="X202" s="168" t="s">
        <v>119</v>
      </c>
      <c r="Y202" s="168"/>
      <c r="Z202" s="168"/>
      <c r="AA202" s="168"/>
      <c r="AB202" s="168"/>
      <c r="AC202" s="168"/>
      <c r="AD202" s="168"/>
      <c r="AE202" s="168"/>
      <c r="AF202" s="168"/>
      <c r="AG202" s="168"/>
      <c r="AH202" s="168"/>
      <c r="AI202" s="168"/>
      <c r="AJ202" s="169">
        <v>0.31</v>
      </c>
      <c r="AK202" s="170">
        <v>0.14499999999999999</v>
      </c>
      <c r="AL202" s="171">
        <v>500000</v>
      </c>
      <c r="AM202" s="172">
        <v>0.54669999999999996</v>
      </c>
      <c r="AN202" t="e">
        <f>W191*AK202</f>
        <v>#REF!</v>
      </c>
      <c r="AO202" t="e">
        <f>W191*AJ202</f>
        <v>#REF!</v>
      </c>
      <c r="AR202" t="e">
        <f t="shared" si="317"/>
        <v>#REF!</v>
      </c>
      <c r="AS202" t="e">
        <f>500000*AK202+(W191-500000)*AJ202</f>
        <v>#REF!</v>
      </c>
      <c r="AV202" s="168" t="s">
        <v>119</v>
      </c>
      <c r="AW202" s="169">
        <v>0.31</v>
      </c>
      <c r="AX202" s="170">
        <v>0.14499999999999999</v>
      </c>
      <c r="AY202" s="171">
        <v>500000</v>
      </c>
      <c r="AZ202" s="172">
        <v>0.54669999999999996</v>
      </c>
      <c r="BA202" s="173"/>
      <c r="BB202" s="173"/>
      <c r="BC202" s="173"/>
      <c r="BD202" s="173"/>
      <c r="BE202" s="173"/>
      <c r="BF202" s="173"/>
      <c r="BG202" s="173"/>
      <c r="BH202" s="173"/>
      <c r="BI202" s="173"/>
      <c r="BJ202" t="e">
        <f>AU191*AX202</f>
        <v>#REF!</v>
      </c>
      <c r="BK202" t="e">
        <f>AU191*AW202</f>
        <v>#REF!</v>
      </c>
      <c r="BN202" t="e">
        <f t="shared" si="318"/>
        <v>#REF!</v>
      </c>
      <c r="BO202" t="e">
        <f>500000*AX202+(AU191-500000)*AW202</f>
        <v>#REF!</v>
      </c>
    </row>
    <row r="203" spans="1:78" hidden="1" x14ac:dyDescent="0.25">
      <c r="C203" s="168" t="s">
        <v>84</v>
      </c>
      <c r="D203" s="172">
        <v>0.26700000000000002</v>
      </c>
      <c r="E203" s="172"/>
      <c r="F203" s="170">
        <v>0.18</v>
      </c>
      <c r="G203" s="170"/>
      <c r="H203" s="171">
        <v>500000</v>
      </c>
      <c r="I203" s="171"/>
      <c r="J203" s="172">
        <v>0.50570000000000004</v>
      </c>
      <c r="K203" s="173"/>
      <c r="L203" s="173"/>
      <c r="M203" s="173"/>
      <c r="N203" s="173"/>
      <c r="O203" s="173"/>
      <c r="P203" s="173"/>
      <c r="Q203" t="e">
        <f>B191*D203</f>
        <v>#REF!</v>
      </c>
      <c r="T203" t="e">
        <f>#REF!</f>
        <v>#REF!</v>
      </c>
      <c r="U203" t="e">
        <f>500000*F203+(B191-500000)*D203</f>
        <v>#REF!</v>
      </c>
      <c r="X203" s="168" t="s">
        <v>84</v>
      </c>
      <c r="Y203" s="168"/>
      <c r="Z203" s="168"/>
      <c r="AA203" s="168"/>
      <c r="AB203" s="168"/>
      <c r="AC203" s="168"/>
      <c r="AD203" s="168"/>
      <c r="AE203" s="168"/>
      <c r="AF203" s="168"/>
      <c r="AG203" s="168"/>
      <c r="AH203" s="168"/>
      <c r="AI203" s="168"/>
      <c r="AJ203" s="172">
        <v>0.26700000000000002</v>
      </c>
      <c r="AK203" s="170">
        <v>0.18</v>
      </c>
      <c r="AL203" s="171">
        <v>500000</v>
      </c>
      <c r="AM203" s="172">
        <v>0.50570000000000004</v>
      </c>
      <c r="AN203" t="e">
        <f>W191*AK203</f>
        <v>#REF!</v>
      </c>
      <c r="AO203" t="e">
        <f>W191*AJ203</f>
        <v>#REF!</v>
      </c>
      <c r="AR203" t="e">
        <f t="shared" si="317"/>
        <v>#REF!</v>
      </c>
      <c r="AS203" t="e">
        <f>500000*AK203+(W191-500000)*AJ203</f>
        <v>#REF!</v>
      </c>
      <c r="AV203" s="168" t="s">
        <v>84</v>
      </c>
      <c r="AW203" s="172">
        <v>0.26700000000000002</v>
      </c>
      <c r="AX203" s="170">
        <v>0.18</v>
      </c>
      <c r="AY203" s="171">
        <v>500000</v>
      </c>
      <c r="AZ203" s="172">
        <v>0.50570000000000004</v>
      </c>
      <c r="BA203" s="173"/>
      <c r="BB203" s="173"/>
      <c r="BC203" s="173"/>
      <c r="BD203" s="173"/>
      <c r="BE203" s="173"/>
      <c r="BF203" s="173"/>
      <c r="BG203" s="173"/>
      <c r="BH203" s="173"/>
      <c r="BI203" s="173"/>
      <c r="BJ203" t="e">
        <f>AU191*AX203</f>
        <v>#REF!</v>
      </c>
      <c r="BK203" t="e">
        <f>AU191*AW203</f>
        <v>#REF!</v>
      </c>
      <c r="BN203" t="e">
        <f t="shared" si="318"/>
        <v>#REF!</v>
      </c>
      <c r="BO203" t="e">
        <f>500000*AX203+(AU191-500000)*AW203</f>
        <v>#REF!</v>
      </c>
    </row>
    <row r="204" spans="1:78" hidden="1" x14ac:dyDescent="0.25">
      <c r="C204" s="168" t="s">
        <v>81</v>
      </c>
      <c r="D204" s="175">
        <v>0.27</v>
      </c>
      <c r="E204" s="175"/>
      <c r="F204" s="170">
        <v>0.12</v>
      </c>
      <c r="G204" s="170"/>
      <c r="H204" s="171">
        <v>500000</v>
      </c>
      <c r="I204" s="171"/>
      <c r="J204" s="172">
        <v>0.50670000000000004</v>
      </c>
      <c r="K204" s="173"/>
      <c r="L204" s="173"/>
      <c r="M204" s="173"/>
      <c r="N204" s="173"/>
      <c r="O204" s="173"/>
      <c r="P204" s="173"/>
      <c r="Q204" t="e">
        <f>B191*D204</f>
        <v>#REF!</v>
      </c>
      <c r="T204" t="e">
        <f>#REF!</f>
        <v>#REF!</v>
      </c>
      <c r="U204" t="e">
        <f>500000*F204+(B191-500000)*D204</f>
        <v>#REF!</v>
      </c>
      <c r="X204" s="168" t="s">
        <v>81</v>
      </c>
      <c r="Y204" s="168"/>
      <c r="Z204" s="168"/>
      <c r="AA204" s="168"/>
      <c r="AB204" s="168"/>
      <c r="AC204" s="168"/>
      <c r="AD204" s="168"/>
      <c r="AE204" s="168"/>
      <c r="AF204" s="168"/>
      <c r="AG204" s="168"/>
      <c r="AH204" s="168"/>
      <c r="AI204" s="168"/>
      <c r="AJ204" s="175">
        <v>0.27</v>
      </c>
      <c r="AK204" s="170">
        <v>0.12</v>
      </c>
      <c r="AL204" s="171">
        <v>500000</v>
      </c>
      <c r="AM204" s="172">
        <v>0.50670000000000004</v>
      </c>
      <c r="AN204" t="e">
        <f>W191*AK204</f>
        <v>#REF!</v>
      </c>
      <c r="AO204" t="e">
        <f>W191*AJ204</f>
        <v>#REF!</v>
      </c>
      <c r="AR204" t="e">
        <f t="shared" si="317"/>
        <v>#REF!</v>
      </c>
      <c r="AS204" t="e">
        <f>500000*AK204+(W191-500000)*AJ204</f>
        <v>#REF!</v>
      </c>
      <c r="AV204" s="168" t="s">
        <v>81</v>
      </c>
      <c r="AW204" s="175">
        <v>0.27</v>
      </c>
      <c r="AX204" s="170">
        <v>0.12</v>
      </c>
      <c r="AY204" s="171">
        <v>500000</v>
      </c>
      <c r="AZ204" s="172">
        <v>0.50670000000000004</v>
      </c>
      <c r="BA204" s="173"/>
      <c r="BB204" s="173"/>
      <c r="BC204" s="173"/>
      <c r="BD204" s="173"/>
      <c r="BE204" s="173"/>
      <c r="BF204" s="173"/>
      <c r="BG204" s="173"/>
      <c r="BH204" s="173"/>
      <c r="BI204" s="173"/>
      <c r="BJ204" t="e">
        <f>AU191*AX204</f>
        <v>#REF!</v>
      </c>
      <c r="BK204" t="e">
        <f>AU191*AW204</f>
        <v>#REF!</v>
      </c>
      <c r="BN204" t="e">
        <f t="shared" si="318"/>
        <v>#REF!</v>
      </c>
      <c r="BO204" t="e">
        <f>500000*AX204+(AU191-500000)*AW204</f>
        <v>#REF!</v>
      </c>
    </row>
    <row r="205" spans="1:78" hidden="1" x14ac:dyDescent="0.25"/>
    <row r="206" spans="1:78" hidden="1" x14ac:dyDescent="0.25">
      <c r="C206" s="176" t="s">
        <v>120</v>
      </c>
      <c r="D206" s="117">
        <v>0.38329999999999997</v>
      </c>
      <c r="E206" s="117"/>
      <c r="H206" t="s">
        <v>121</v>
      </c>
      <c r="J206" s="117">
        <f>IF(C6="AB",J195,IF(C6="BC",J196,IF(C6="MB",J197,IF(C6="NB",J198,IF(C6="NF",J199,IF(C6="NS",J200,IF(C6="ON",J201,IF(C6="PE",J202,IF(C6="PQ",J203,J204)))))))))</f>
        <v>0.50170000000000003</v>
      </c>
      <c r="K206" s="117"/>
      <c r="L206" s="117"/>
      <c r="M206" s="117"/>
      <c r="N206" s="117"/>
      <c r="O206" s="117"/>
      <c r="P206" s="117"/>
      <c r="X206" s="176" t="s">
        <v>120</v>
      </c>
      <c r="Y206" s="176"/>
      <c r="Z206" s="176"/>
      <c r="AA206" s="176"/>
      <c r="AB206" s="176"/>
      <c r="AC206" s="176"/>
      <c r="AD206" s="176"/>
      <c r="AE206" s="176"/>
      <c r="AF206" s="176"/>
      <c r="AG206" s="176"/>
      <c r="AH206" s="176"/>
      <c r="AI206" s="176"/>
      <c r="AJ206" s="117">
        <v>0.38329999999999997</v>
      </c>
      <c r="AL206" t="s">
        <v>121</v>
      </c>
      <c r="AM206" s="117">
        <f>IF(C6="AB",AM195,IF(C6="BC",AM196,IF(C6="MB",AM197,IF(C6="NB",AM198,IF(C6="NF",AM199,IF(C6="NS",AM200,IF(C6="ON",AM201,IF(C6="PE",AM202,IF(C6="PQ",AM203,AM204)))))))))</f>
        <v>0.50170000000000003</v>
      </c>
      <c r="AV206" s="176" t="s">
        <v>120</v>
      </c>
      <c r="AW206" s="117">
        <v>0.38329999999999997</v>
      </c>
      <c r="AY206" t="s">
        <v>121</v>
      </c>
      <c r="AZ206" s="117">
        <f>IF(C6="AB",AZ195,IF(C6="BC",AZ196,IF(C6="MB",AZ197,IF(C6="NB",AZ198,IF(C6="NF",AZ199,IF(C6="NS",AZ200,IF(C6="ON",AZ201,IF(C6="PE",AZ202,IF(C6="PQ",AZ203,AZ204)))))))))</f>
        <v>0.50170000000000003</v>
      </c>
      <c r="BA206" s="117"/>
      <c r="BB206" s="117"/>
      <c r="BC206" s="117"/>
      <c r="BD206" s="117"/>
      <c r="BE206" s="117"/>
      <c r="BF206" s="117"/>
      <c r="BG206" s="117"/>
      <c r="BH206" s="117"/>
      <c r="BI206" s="117"/>
    </row>
    <row r="207" spans="1:78" hidden="1" x14ac:dyDescent="0.25"/>
    <row r="208" spans="1:78" hidden="1" x14ac:dyDescent="0.25"/>
    <row r="209" hidden="1" x14ac:dyDescent="0.25"/>
  </sheetData>
  <sheetProtection algorithmName="SHA-512" hashValue="eejLYam+RCBbKsfXarfD7QAw/uoaDw03cgmQClL1pLi7eVslIBoHcGARYhkR3G7p8cJGIbzRC+SBNd/xkaondg==" saltValue="Z3AHGhCKVujr1ghD8kegZA==" spinCount="100000" sheet="1" selectLockedCells="1"/>
  <mergeCells count="34">
    <mergeCell ref="L56:N57"/>
    <mergeCell ref="I24:J24"/>
    <mergeCell ref="G24:H24"/>
    <mergeCell ref="G29:I30"/>
    <mergeCell ref="J29:J30"/>
    <mergeCell ref="B39:C40"/>
    <mergeCell ref="D39:D40"/>
    <mergeCell ref="E39:E40"/>
    <mergeCell ref="L7:N8"/>
    <mergeCell ref="E7:F7"/>
    <mergeCell ref="E8:F8"/>
    <mergeCell ref="E9:F9"/>
    <mergeCell ref="B2:D3"/>
    <mergeCell ref="B24:E25"/>
    <mergeCell ref="L2:N5"/>
    <mergeCell ref="E20:G21"/>
    <mergeCell ref="H20:H21"/>
    <mergeCell ref="E5:G5"/>
    <mergeCell ref="B56:J57"/>
    <mergeCell ref="A86:P86"/>
    <mergeCell ref="B85:J85"/>
    <mergeCell ref="E14:G14"/>
    <mergeCell ref="E6:F6"/>
    <mergeCell ref="L14:O14"/>
    <mergeCell ref="H12:J12"/>
    <mergeCell ref="L15:M15"/>
    <mergeCell ref="E11:F11"/>
    <mergeCell ref="H5:H6"/>
    <mergeCell ref="I5:I6"/>
    <mergeCell ref="J5:J6"/>
    <mergeCell ref="E10:F10"/>
    <mergeCell ref="L10:N10"/>
    <mergeCell ref="L9:N9"/>
    <mergeCell ref="L11:N11"/>
  </mergeCells>
  <dataValidations count="2">
    <dataValidation type="list" allowBlank="1" showInputMessage="1" showErrorMessage="1" sqref="C6" xr:uid="{00000000-0002-0000-0000-000000000000}">
      <formula1>"AB,BC,MN,NB,NS,NF,ON,PEI,PQ,SK"</formula1>
    </dataValidation>
    <dataValidation type="list" allowBlank="1" showInputMessage="1" showErrorMessage="1" sqref="I24" xr:uid="{3CCB81BF-47B6-4008-9E6D-F45FC0B9A4DD}">
      <formula1>$B$59:$B$84</formula1>
    </dataValidation>
  </dataValidations>
  <hyperlinks>
    <hyperlink ref="L9" r:id="rId1" xr:uid="{00000000-0004-0000-0000-000000000000}"/>
    <hyperlink ref="E22:F22" r:id="rId2" display="Link to historical inflation rates" xr:uid="{00000000-0004-0000-0000-000001000000}"/>
    <hyperlink ref="L11" r:id="rId3" xr:uid="{00000000-0004-0000-0000-000002000000}"/>
    <hyperlink ref="L10" r:id="rId4" xr:uid="{00000000-0004-0000-0000-000003000000}"/>
  </hyperlinks>
  <pageMargins left="0.7" right="0.7" top="0.75" bottom="0.75" header="0.3" footer="0.3"/>
  <pageSetup orientation="portrait" horizontalDpi="4294967293" verticalDpi="4294967293" r:id="rId5"/>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
  <sheetViews>
    <sheetView workbookViewId="0">
      <selection sqref="A1:C2"/>
    </sheetView>
  </sheetViews>
  <sheetFormatPr defaultRowHeight="15" x14ac:dyDescent="0.25"/>
  <cols>
    <col min="1" max="1" width="17" customWidth="1"/>
    <col min="2" max="2" width="16.5703125" customWidth="1"/>
    <col min="3" max="3" width="14.28515625" customWidth="1"/>
    <col min="5" max="5" width="18.85546875" customWidth="1"/>
    <col min="6" max="6" width="24.28515625" customWidth="1"/>
    <col min="7" max="7" width="21.5703125" customWidth="1"/>
    <col min="8" max="8" width="16.140625" customWidth="1"/>
  </cols>
  <sheetData>
    <row r="1" spans="1:8" ht="14.45" customHeight="1" x14ac:dyDescent="0.25">
      <c r="A1" s="468" t="s">
        <v>187</v>
      </c>
      <c r="B1" s="469"/>
      <c r="C1" s="470"/>
      <c r="D1" s="468" t="s">
        <v>149</v>
      </c>
      <c r="E1" s="469"/>
      <c r="F1" s="469"/>
      <c r="G1" s="470"/>
      <c r="H1" s="298"/>
    </row>
    <row r="2" spans="1:8" ht="15" customHeight="1" thickBot="1" x14ac:dyDescent="0.3">
      <c r="A2" s="471"/>
      <c r="B2" s="472"/>
      <c r="C2" s="473"/>
      <c r="D2" s="471"/>
      <c r="E2" s="472"/>
      <c r="F2" s="472"/>
      <c r="G2" s="473"/>
      <c r="H2" s="298"/>
    </row>
    <row r="3" spans="1:8" ht="15" customHeight="1" thickBot="1" x14ac:dyDescent="0.3">
      <c r="A3" s="336" t="s">
        <v>12</v>
      </c>
      <c r="B3" s="337" t="s">
        <v>55</v>
      </c>
      <c r="C3" s="339" t="s">
        <v>56</v>
      </c>
      <c r="D3" s="508" t="s">
        <v>237</v>
      </c>
      <c r="E3" s="509"/>
      <c r="F3" s="506" t="s">
        <v>141</v>
      </c>
      <c r="G3" s="506" t="s">
        <v>158</v>
      </c>
    </row>
    <row r="4" spans="1:8" ht="18.75" customHeight="1" x14ac:dyDescent="0.25">
      <c r="A4" s="188" t="s">
        <v>184</v>
      </c>
      <c r="B4" s="191">
        <f>'Inputs and Detailed Calc'!C16</f>
        <v>250000</v>
      </c>
      <c r="C4" s="107">
        <f>'Inputs and Detailed Calc'!C7</f>
        <v>60000</v>
      </c>
      <c r="D4" s="510"/>
      <c r="E4" s="511"/>
      <c r="F4" s="507"/>
      <c r="G4" s="507"/>
    </row>
    <row r="5" spans="1:8" ht="15.75" thickBot="1" x14ac:dyDescent="0.3">
      <c r="A5" s="188" t="s">
        <v>18</v>
      </c>
      <c r="B5" s="192">
        <f>'Inputs and Detailed Calc'!C17</f>
        <v>26010</v>
      </c>
      <c r="C5" s="109">
        <f>'Inputs and Detailed Calc'!C8</f>
        <v>10800</v>
      </c>
      <c r="D5" s="90" t="s">
        <v>132</v>
      </c>
      <c r="E5" s="90"/>
      <c r="F5" s="204">
        <f>'Inputs and Detailed Calc'!D28</f>
        <v>11042.4</v>
      </c>
      <c r="G5" s="205">
        <f>'Inputs and Detailed Calc'!E28</f>
        <v>11042.4</v>
      </c>
    </row>
    <row r="6" spans="1:8" ht="15" customHeight="1" thickBot="1" x14ac:dyDescent="0.3">
      <c r="A6" s="336" t="s">
        <v>186</v>
      </c>
      <c r="B6" s="337"/>
      <c r="C6" s="184"/>
      <c r="D6" s="504" t="s">
        <v>191</v>
      </c>
      <c r="E6" s="505"/>
      <c r="F6" s="331">
        <f>'Inputs and Detailed Calc'!D29</f>
        <v>4929.8433599999989</v>
      </c>
      <c r="G6" s="332">
        <f>'Inputs and Detailed Calc'!E29</f>
        <v>-778.04199999999946</v>
      </c>
    </row>
    <row r="7" spans="1:8" x14ac:dyDescent="0.25">
      <c r="A7" s="188" t="s">
        <v>185</v>
      </c>
      <c r="B7" s="90" t="s">
        <v>293</v>
      </c>
      <c r="C7" s="220"/>
      <c r="D7" s="277" t="s">
        <v>236</v>
      </c>
      <c r="E7" s="278"/>
      <c r="F7" s="329">
        <f>'Inputs and Detailed Calc'!D30</f>
        <v>7919.0785178316783</v>
      </c>
      <c r="G7" s="330">
        <f>F7</f>
        <v>7919.0785178316783</v>
      </c>
    </row>
    <row r="8" spans="1:8" ht="15.75" thickBot="1" x14ac:dyDescent="0.3">
      <c r="A8" s="334">
        <f>'Inputs and Detailed Calc'!G6</f>
        <v>344000</v>
      </c>
      <c r="B8" s="333">
        <f>'Inputs and Detailed Calc'!G7</f>
        <v>2.3959999999999999E-2</v>
      </c>
      <c r="C8" s="335"/>
      <c r="D8" s="325" t="s">
        <v>225</v>
      </c>
      <c r="E8" s="326"/>
      <c r="F8" s="327">
        <f>F5-F6-F7</f>
        <v>-1806.5218778316776</v>
      </c>
      <c r="G8" s="328">
        <f>G5-G6-G7</f>
        <v>3901.3634821683208</v>
      </c>
    </row>
    <row r="9" spans="1:8" ht="15.75" thickBot="1" x14ac:dyDescent="0.3">
      <c r="A9" s="336" t="s">
        <v>188</v>
      </c>
      <c r="B9" s="337"/>
      <c r="C9" s="339"/>
      <c r="D9" s="197" t="s">
        <v>238</v>
      </c>
      <c r="E9" s="198"/>
      <c r="F9" s="317"/>
      <c r="G9" s="256"/>
    </row>
    <row r="10" spans="1:8" x14ac:dyDescent="0.25">
      <c r="A10" s="188" t="s">
        <v>40</v>
      </c>
      <c r="B10" s="90"/>
      <c r="C10" s="224">
        <f>'Inputs and Detailed Calc'!G15</f>
        <v>0.05</v>
      </c>
      <c r="D10" s="266" t="s">
        <v>248</v>
      </c>
      <c r="E10" s="318"/>
      <c r="F10" s="320">
        <f>F5-F6</f>
        <v>6112.5566400000007</v>
      </c>
      <c r="G10" s="319">
        <f>'Inputs and Detailed Calc'!E33</f>
        <v>21101.363482168323</v>
      </c>
    </row>
    <row r="11" spans="1:8" x14ac:dyDescent="0.25">
      <c r="A11" s="188" t="s">
        <v>38</v>
      </c>
      <c r="B11" s="90"/>
      <c r="C11" s="235">
        <f>'Inputs and Detailed Calc'!G16</f>
        <v>2.01E-2</v>
      </c>
      <c r="D11" s="321" t="s">
        <v>194</v>
      </c>
      <c r="E11" s="322"/>
      <c r="F11" s="323">
        <f>'Inputs and Detailed Calc'!N148</f>
        <v>1.4330940000000002E-2</v>
      </c>
      <c r="G11" s="324">
        <f>'Inputs and Detailed Calc'!N117</f>
        <v>4.8423900000000002E-3</v>
      </c>
    </row>
    <row r="12" spans="1:8" ht="15" customHeight="1" thickBot="1" x14ac:dyDescent="0.3">
      <c r="A12" s="189" t="s">
        <v>189</v>
      </c>
      <c r="B12" s="190"/>
      <c r="C12" s="270">
        <f>'Inputs and Detailed Calc'!G17</f>
        <v>1.2E-2</v>
      </c>
      <c r="D12" s="565" t="str">
        <f>'Inputs and Detailed Calc'!J29</f>
        <v>Year 20</v>
      </c>
      <c r="E12" s="563" t="s">
        <v>301</v>
      </c>
      <c r="F12" s="502">
        <f>'Inputs and Detailed Calc'!D39</f>
        <v>153354.89250547087</v>
      </c>
      <c r="G12" s="502">
        <f>'Inputs and Detailed Calc'!E39</f>
        <v>342722.15976117796</v>
      </c>
    </row>
    <row r="13" spans="1:8" ht="15.75" thickBot="1" x14ac:dyDescent="0.3">
      <c r="A13" s="222"/>
      <c r="B13" s="223"/>
      <c r="C13" s="223"/>
      <c r="D13" s="566"/>
      <c r="E13" s="564"/>
      <c r="F13" s="503"/>
      <c r="G13" s="503"/>
    </row>
    <row r="14" spans="1:8" ht="15.75" thickBot="1" x14ac:dyDescent="0.3">
      <c r="A14" s="336" t="s">
        <v>249</v>
      </c>
      <c r="B14" s="337"/>
      <c r="C14" s="338">
        <f>'Inputs and Detailed Calc'!H20</f>
        <v>0.02</v>
      </c>
      <c r="D14" s="440" t="s">
        <v>247</v>
      </c>
      <c r="E14" s="500"/>
      <c r="F14" s="500"/>
      <c r="G14" s="501"/>
    </row>
    <row r="15" spans="1:8" x14ac:dyDescent="0.25">
      <c r="A15" s="2"/>
      <c r="B15" s="2"/>
      <c r="C15" s="2"/>
      <c r="D15" s="2"/>
      <c r="E15" s="2"/>
      <c r="F15" s="2"/>
      <c r="G15" s="2"/>
    </row>
  </sheetData>
  <sheetProtection algorithmName="SHA-512" hashValue="aOV8OVdwa0kLlCAfR9tcxDbMdLGfg8TPochDgRUOL1k0WlEWZzESsuLpP/4eybjj+kel78hipZPZ7p5rKhl98g==" saltValue="D+qmUvzJyxQQeMqtQyTx6Q==" spinCount="100000" sheet="1" objects="1" scenarios="1"/>
  <mergeCells count="11">
    <mergeCell ref="D14:G14"/>
    <mergeCell ref="F12:F13"/>
    <mergeCell ref="G12:G13"/>
    <mergeCell ref="A1:C2"/>
    <mergeCell ref="D6:E6"/>
    <mergeCell ref="F3:F4"/>
    <mergeCell ref="G3:G4"/>
    <mergeCell ref="D1:G2"/>
    <mergeCell ref="D3:E4"/>
    <mergeCell ref="E12:E13"/>
    <mergeCell ref="D12:D1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
  <sheetViews>
    <sheetView workbookViewId="0">
      <selection activeCell="F9" sqref="F9"/>
    </sheetView>
  </sheetViews>
  <sheetFormatPr defaultRowHeight="15" x14ac:dyDescent="0.25"/>
  <cols>
    <col min="2" max="2" width="12.42578125" customWidth="1"/>
    <col min="3" max="3" width="13.7109375" customWidth="1"/>
    <col min="4" max="4" width="14.5703125" customWidth="1"/>
    <col min="6" max="6" width="17" customWidth="1"/>
    <col min="7" max="7" width="11.42578125" customWidth="1"/>
    <col min="8" max="8" width="12.7109375" customWidth="1"/>
    <col min="9" max="10" width="12.5703125" customWidth="1"/>
  </cols>
  <sheetData>
    <row r="1" spans="1:11" ht="15" customHeight="1" x14ac:dyDescent="0.25">
      <c r="A1" s="474" t="s">
        <v>190</v>
      </c>
      <c r="B1" s="475"/>
      <c r="C1" s="475"/>
      <c r="D1" s="476"/>
      <c r="E1" s="519" t="s">
        <v>157</v>
      </c>
      <c r="F1" s="520"/>
      <c r="G1" s="512" t="s">
        <v>141</v>
      </c>
      <c r="H1" s="514" t="s">
        <v>158</v>
      </c>
      <c r="I1" s="517" t="s">
        <v>241</v>
      </c>
      <c r="K1" s="516"/>
    </row>
    <row r="2" spans="1:11" ht="15" customHeight="1" thickBot="1" x14ac:dyDescent="0.3">
      <c r="A2" s="477"/>
      <c r="B2" s="478"/>
      <c r="C2" s="478"/>
      <c r="D2" s="479"/>
      <c r="E2" s="521"/>
      <c r="F2" s="522"/>
      <c r="G2" s="513"/>
      <c r="H2" s="515"/>
      <c r="I2" s="518"/>
      <c r="K2" s="516"/>
    </row>
    <row r="3" spans="1:11" ht="15" customHeight="1" x14ac:dyDescent="0.25">
      <c r="A3" s="209"/>
      <c r="B3" s="202"/>
      <c r="C3" s="203" t="s">
        <v>155</v>
      </c>
      <c r="D3" s="210" t="s">
        <v>156</v>
      </c>
      <c r="E3" s="188" t="s">
        <v>162</v>
      </c>
      <c r="F3" s="90"/>
      <c r="G3" s="89">
        <f>'Inputs and Detailed Calc'!I39</f>
        <v>2893.8618958322681</v>
      </c>
      <c r="H3" s="191">
        <f>'Inputs and Detailed Calc'!J39</f>
        <v>9977.6540738307012</v>
      </c>
      <c r="I3" s="227">
        <f>'Inputs and Detailed Calc'!K39</f>
        <v>0</v>
      </c>
      <c r="K3" s="340"/>
    </row>
    <row r="4" spans="1:11" ht="15" customHeight="1" x14ac:dyDescent="0.25">
      <c r="A4" s="209" t="s">
        <v>12</v>
      </c>
      <c r="B4" s="202"/>
      <c r="C4" s="237">
        <f>'Inputs and Detailed Calc'!I32</f>
        <v>0</v>
      </c>
      <c r="D4" s="238">
        <f>'Inputs and Detailed Calc'!J32</f>
        <v>0</v>
      </c>
      <c r="E4" s="188" t="s">
        <v>163</v>
      </c>
      <c r="F4" s="90"/>
      <c r="G4" s="218">
        <f>'Inputs and Detailed Calc'!I40</f>
        <v>2865.0672501025942</v>
      </c>
      <c r="H4" s="192">
        <f>'Inputs and Detailed Calc'!J40</f>
        <v>504.6130242516665</v>
      </c>
      <c r="I4" s="228">
        <f>'Inputs and Detailed Calc'!K40</f>
        <v>0</v>
      </c>
      <c r="K4" s="340"/>
    </row>
    <row r="5" spans="1:11" ht="15" customHeight="1" x14ac:dyDescent="0.25">
      <c r="A5" s="209" t="s">
        <v>153</v>
      </c>
      <c r="B5" s="202"/>
      <c r="C5" s="237">
        <f>'Inputs and Detailed Calc'!I33</f>
        <v>40000</v>
      </c>
      <c r="D5" s="238">
        <f>'Inputs and Detailed Calc'!J33</f>
        <v>0</v>
      </c>
      <c r="E5" s="263" t="s">
        <v>164</v>
      </c>
      <c r="F5" s="264"/>
      <c r="G5" s="233">
        <f>'Inputs and Detailed Calc'!I41</f>
        <v>5758.9291459348624</v>
      </c>
      <c r="H5" s="191">
        <f>'Inputs and Detailed Calc'!J41</f>
        <v>10482.267098082368</v>
      </c>
      <c r="I5" s="229">
        <f>'Inputs and Detailed Calc'!K41</f>
        <v>0</v>
      </c>
      <c r="K5" s="341"/>
    </row>
    <row r="6" spans="1:11" ht="15" customHeight="1" thickBot="1" x14ac:dyDescent="0.3">
      <c r="A6" s="211" t="s">
        <v>31</v>
      </c>
      <c r="B6" s="212"/>
      <c r="C6" s="239">
        <f>'Inputs and Detailed Calc'!I34</f>
        <v>0</v>
      </c>
      <c r="D6" s="240">
        <f>'Inputs and Detailed Calc'!J34</f>
        <v>100000</v>
      </c>
      <c r="E6" s="188" t="s">
        <v>167</v>
      </c>
      <c r="F6" s="90"/>
      <c r="G6" s="218">
        <f>C4+C5+C6+D4+D5+D6+G5</f>
        <v>145758.92914593488</v>
      </c>
      <c r="H6" s="192">
        <f>'Inputs and Detailed Calc'!J42</f>
        <v>150482.26709808238</v>
      </c>
      <c r="I6" s="228">
        <f>'Inputs and Detailed Calc'!K42</f>
        <v>140000</v>
      </c>
      <c r="K6" s="340"/>
    </row>
    <row r="7" spans="1:11" ht="15" customHeight="1" thickBot="1" x14ac:dyDescent="0.3">
      <c r="A7" s="222"/>
      <c r="B7" s="225"/>
      <c r="C7" s="226"/>
      <c r="D7" s="221"/>
      <c r="E7" s="263" t="s">
        <v>159</v>
      </c>
      <c r="F7" s="264"/>
      <c r="G7" s="234">
        <f>'Inputs and Detailed Calc'!I43</f>
        <v>17706.025995796997</v>
      </c>
      <c r="H7" s="191">
        <f>'Inputs and Detailed Calc'!J43</f>
        <v>16349.701000000001</v>
      </c>
      <c r="I7" s="230">
        <f>'Inputs and Detailed Calc'!K43</f>
        <v>16349.701000000001</v>
      </c>
      <c r="K7" s="342"/>
    </row>
    <row r="8" spans="1:11" ht="15" customHeight="1" thickBot="1" x14ac:dyDescent="0.3">
      <c r="A8" s="213" t="s">
        <v>154</v>
      </c>
      <c r="B8" s="214"/>
      <c r="C8" s="215"/>
      <c r="D8" s="241">
        <f>'Inputs and Detailed Calc'!J36</f>
        <v>0.04</v>
      </c>
      <c r="E8" s="263" t="s">
        <v>160</v>
      </c>
      <c r="F8" s="264"/>
      <c r="G8" s="208">
        <f>'Inputs and Detailed Calc'!I44</f>
        <v>5761.1145000000006</v>
      </c>
      <c r="H8" s="192">
        <f>'Inputs and Detailed Calc'!J44</f>
        <v>5988.3224761630918</v>
      </c>
      <c r="I8" s="231">
        <f>'Inputs and Detailed Calc'!K44</f>
        <v>5761.1145000000006</v>
      </c>
      <c r="K8" s="341"/>
    </row>
    <row r="9" spans="1:11" ht="15.75" customHeight="1" thickBot="1" x14ac:dyDescent="0.3">
      <c r="A9" s="222"/>
      <c r="B9" s="223"/>
      <c r="C9" s="223"/>
      <c r="D9" s="221"/>
      <c r="E9" s="216" t="s">
        <v>161</v>
      </c>
      <c r="F9" s="217"/>
      <c r="G9" s="259">
        <f>G6-G7-G8</f>
        <v>122291.78865013788</v>
      </c>
      <c r="H9" s="258">
        <f>'Inputs and Detailed Calc'!J45</f>
        <v>128144.24362191928</v>
      </c>
      <c r="I9" s="232">
        <f>'Inputs and Detailed Calc'!K45</f>
        <v>117889.1845</v>
      </c>
      <c r="K9" s="343"/>
    </row>
    <row r="10" spans="1:11" ht="15.75" thickBot="1" x14ac:dyDescent="0.3">
      <c r="A10" s="281"/>
      <c r="B10" s="282"/>
      <c r="C10" s="282"/>
      <c r="D10" s="282"/>
      <c r="E10" s="197" t="s">
        <v>250</v>
      </c>
      <c r="F10" s="198"/>
      <c r="G10" s="198"/>
      <c r="H10" s="198"/>
      <c r="I10" s="262"/>
    </row>
  </sheetData>
  <sheetProtection algorithmName="SHA-512" hashValue="lH4XJHQHxZpMA1UPHnFsBKuObUnArgPfJRucTr4qQRbMK85Jqw+xbmZX4Q/I0FI2eXCOzqlXnFUxhSdVujiGng==" saltValue="Fjk3kBRUCGPo8x8Raf1qUg==" spinCount="100000" sheet="1" objects="1" scenarios="1"/>
  <mergeCells count="6">
    <mergeCell ref="G1:G2"/>
    <mergeCell ref="H1:H2"/>
    <mergeCell ref="K1:K2"/>
    <mergeCell ref="A1:D2"/>
    <mergeCell ref="I1:I2"/>
    <mergeCell ref="E1: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Inputs and Detailed Calc</vt:lpstr>
      <vt:lpstr>Accumulation Phase Report</vt:lpstr>
      <vt:lpstr>Withdrawal Phase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Loonie Doctor</dc:creator>
  <cp:lastModifiedBy>Kim Soth</cp:lastModifiedBy>
  <dcterms:created xsi:type="dcterms:W3CDTF">2018-01-29T19:01:55Z</dcterms:created>
  <dcterms:modified xsi:type="dcterms:W3CDTF">2018-11-24T22:45:33Z</dcterms:modified>
</cp:coreProperties>
</file>